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rashi\Desktop\"/>
    </mc:Choice>
  </mc:AlternateContent>
  <xr:revisionPtr revIDLastSave="0" documentId="13_ncr:1_{87F3CEA5-6612-4C11-929E-2C37FE0A15DE}" xr6:coauthVersionLast="47" xr6:coauthVersionMax="47" xr10:uidLastSave="{00000000-0000-0000-0000-000000000000}"/>
  <bookViews>
    <workbookView xWindow="-120" yWindow="-120" windowWidth="29040" windowHeight="15720" tabRatio="704" xr2:uid="{00000000-000D-0000-FFFF-FFFF00000000}"/>
  </bookViews>
  <sheets>
    <sheet name="Титульный лист" sheetId="4" r:id="rId1"/>
    <sheet name="Ввод данных" sheetId="6" r:id="rId2"/>
    <sheet name="Затраты на запуск" sheetId="3" r:id="rId3"/>
    <sheet name="Финансовая модель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5" l="1"/>
  <c r="D34" i="5"/>
  <c r="E34" i="5"/>
  <c r="F34" i="5"/>
  <c r="G34" i="5"/>
  <c r="H34" i="5"/>
  <c r="I34" i="5"/>
  <c r="J34" i="5"/>
  <c r="K34" i="5"/>
  <c r="L34" i="5"/>
  <c r="M34" i="5"/>
  <c r="N34" i="5"/>
  <c r="N20" i="5"/>
  <c r="M20" i="5"/>
  <c r="L20" i="5"/>
  <c r="K20" i="5"/>
  <c r="J20" i="5"/>
  <c r="I20" i="5"/>
  <c r="H20" i="5"/>
  <c r="G20" i="5"/>
  <c r="F20" i="5"/>
  <c r="E20" i="5"/>
  <c r="D20" i="5"/>
  <c r="C20" i="5"/>
  <c r="C20" i="3"/>
  <c r="C11" i="3"/>
  <c r="C26" i="5"/>
  <c r="C29" i="5"/>
  <c r="F46" i="5"/>
  <c r="D29" i="5"/>
  <c r="G15" i="6" l="1"/>
  <c r="J32" i="5" l="1"/>
  <c r="J30" i="5" s="1"/>
  <c r="G33" i="5"/>
  <c r="E33" i="5"/>
  <c r="I32" i="5"/>
  <c r="I30" i="5" s="1"/>
  <c r="K33" i="5"/>
  <c r="E32" i="5"/>
  <c r="C33" i="5"/>
  <c r="H32" i="5"/>
  <c r="H30" i="5" s="1"/>
  <c r="L33" i="5"/>
  <c r="M33" i="5"/>
  <c r="N33" i="5"/>
  <c r="F33" i="5"/>
  <c r="D33" i="5"/>
  <c r="C16" i="3"/>
  <c r="C13" i="3"/>
  <c r="C14" i="3"/>
  <c r="C19" i="3"/>
  <c r="E19" i="3" s="1"/>
  <c r="C21" i="3"/>
  <c r="E21" i="3" s="1"/>
  <c r="C22" i="3"/>
  <c r="E22" i="3" s="1"/>
  <c r="C15" i="3"/>
  <c r="C12" i="3"/>
  <c r="N32" i="5"/>
  <c r="H18" i="5"/>
  <c r="E24" i="5"/>
  <c r="C17" i="3"/>
  <c r="E17" i="3" s="1"/>
  <c r="M32" i="5"/>
  <c r="M30" i="5" s="1"/>
  <c r="G32" i="5"/>
  <c r="G30" i="5" s="1"/>
  <c r="F32" i="5"/>
  <c r="F30" i="5" s="1"/>
  <c r="L32" i="5"/>
  <c r="L30" i="5" s="1"/>
  <c r="C32" i="5"/>
  <c r="C17" i="5"/>
  <c r="K32" i="5"/>
  <c r="D32" i="5"/>
  <c r="D24" i="5"/>
  <c r="D23" i="5"/>
  <c r="C23" i="5"/>
  <c r="D22" i="5"/>
  <c r="C24" i="5"/>
  <c r="D17" i="5"/>
  <c r="F17" i="5"/>
  <c r="N21" i="5"/>
  <c r="L21" i="5"/>
  <c r="F22" i="5"/>
  <c r="E22" i="5"/>
  <c r="C21" i="5"/>
  <c r="E16" i="5"/>
  <c r="D13" i="5"/>
  <c r="L22" i="5"/>
  <c r="C22" i="5"/>
  <c r="E17" i="5"/>
  <c r="M24" i="5"/>
  <c r="K24" i="5"/>
  <c r="F24" i="5"/>
  <c r="E15" i="5"/>
  <c r="D12" i="5"/>
  <c r="G17" i="5"/>
  <c r="E23" i="5"/>
  <c r="C14" i="5"/>
  <c r="M23" i="5"/>
  <c r="K23" i="5"/>
  <c r="F23" i="5"/>
  <c r="E14" i="5"/>
  <c r="C16" i="5"/>
  <c r="N22" i="5"/>
  <c r="G22" i="5"/>
  <c r="N17" i="5"/>
  <c r="M22" i="5"/>
  <c r="K22" i="5"/>
  <c r="G21" i="5"/>
  <c r="C12" i="5"/>
  <c r="E13" i="5"/>
  <c r="C15" i="5"/>
  <c r="G23" i="5"/>
  <c r="M17" i="5"/>
  <c r="M21" i="5"/>
  <c r="K21" i="5"/>
  <c r="F21" i="5"/>
  <c r="D21" i="5"/>
  <c r="E12" i="5"/>
  <c r="C13" i="5"/>
  <c r="D15" i="5"/>
  <c r="L17" i="5"/>
  <c r="N24" i="5"/>
  <c r="L24" i="5"/>
  <c r="G24" i="5"/>
  <c r="E21" i="5"/>
  <c r="D16" i="5"/>
  <c r="K17" i="5"/>
  <c r="L23" i="5"/>
  <c r="N23" i="5"/>
  <c r="D14" i="5"/>
  <c r="N16" i="5"/>
  <c r="M16" i="5"/>
  <c r="L16" i="5"/>
  <c r="K16" i="5"/>
  <c r="G16" i="5"/>
  <c r="F16" i="5"/>
  <c r="E20" i="3"/>
  <c r="N14" i="5"/>
  <c r="G14" i="5"/>
  <c r="M14" i="5"/>
  <c r="F14" i="5"/>
  <c r="L14" i="5"/>
  <c r="K14" i="5"/>
  <c r="M17" i="3"/>
  <c r="M16" i="3"/>
  <c r="E18" i="3"/>
  <c r="N12" i="5"/>
  <c r="M15" i="5"/>
  <c r="M13" i="5"/>
  <c r="L12" i="5"/>
  <c r="K15" i="5"/>
  <c r="K13" i="5"/>
  <c r="G12" i="5"/>
  <c r="F15" i="5"/>
  <c r="F13" i="5"/>
  <c r="N15" i="5"/>
  <c r="N13" i="5"/>
  <c r="M12" i="5"/>
  <c r="L15" i="5"/>
  <c r="L13" i="5"/>
  <c r="K12" i="5"/>
  <c r="G15" i="5"/>
  <c r="G13" i="5"/>
  <c r="F12" i="5"/>
  <c r="N30" i="5" l="1"/>
  <c r="E30" i="5"/>
  <c r="C30" i="5"/>
  <c r="D30" i="5"/>
  <c r="K30" i="5"/>
  <c r="C25" i="5"/>
  <c r="E11" i="5"/>
  <c r="E36" i="5" s="1"/>
  <c r="F11" i="5"/>
  <c r="F36" i="5" s="1"/>
  <c r="D11" i="5"/>
  <c r="G11" i="5"/>
  <c r="G36" i="5" s="1"/>
  <c r="C26" i="3"/>
  <c r="E15" i="3"/>
  <c r="F29" i="5"/>
  <c r="G29" i="5"/>
  <c r="H29" i="5"/>
  <c r="I29" i="5"/>
  <c r="J29" i="5"/>
  <c r="K29" i="5"/>
  <c r="L29" i="5"/>
  <c r="M29" i="5"/>
  <c r="N29" i="5"/>
  <c r="E29" i="5"/>
  <c r="D37" i="5" l="1"/>
  <c r="D36" i="5"/>
  <c r="D26" i="5"/>
  <c r="E26" i="5"/>
  <c r="E25" i="5" s="1"/>
  <c r="E35" i="5" s="1"/>
  <c r="F26" i="5"/>
  <c r="G26" i="5"/>
  <c r="H26" i="5"/>
  <c r="H25" i="5" s="1"/>
  <c r="I26" i="5"/>
  <c r="I25" i="5" s="1"/>
  <c r="J26" i="5"/>
  <c r="J25" i="5" s="1"/>
  <c r="K26" i="5"/>
  <c r="L26" i="5"/>
  <c r="M26" i="5"/>
  <c r="N26" i="5"/>
  <c r="H11" i="5" l="1"/>
  <c r="J11" i="5"/>
  <c r="J36" i="5" s="1"/>
  <c r="I11" i="5"/>
  <c r="I36" i="5" s="1"/>
  <c r="H37" i="5" l="1"/>
  <c r="H36" i="5"/>
  <c r="H35" i="5"/>
  <c r="I35" i="5"/>
  <c r="J35" i="5"/>
  <c r="J37" i="5"/>
  <c r="I37" i="5"/>
  <c r="E12" i="3"/>
  <c r="E13" i="3"/>
  <c r="E14" i="3"/>
  <c r="E16" i="3"/>
  <c r="E11" i="3"/>
  <c r="H38" i="5" l="1"/>
  <c r="E27" i="3"/>
  <c r="D25" i="5"/>
  <c r="D35" i="5" s="1"/>
  <c r="D38" i="5" s="1"/>
  <c r="N25" i="5"/>
  <c r="F25" i="5"/>
  <c r="K25" i="5"/>
  <c r="L25" i="5"/>
  <c r="G25" i="5"/>
  <c r="M25" i="5"/>
  <c r="N11" i="5"/>
  <c r="N36" i="5" s="1"/>
  <c r="L11" i="5"/>
  <c r="L36" i="5" s="1"/>
  <c r="K11" i="5"/>
  <c r="K36" i="5" s="1"/>
  <c r="M11" i="5"/>
  <c r="M36" i="5" s="1"/>
  <c r="I38" i="5"/>
  <c r="J38" i="5"/>
  <c r="M37" i="5" l="1"/>
  <c r="L37" i="5"/>
  <c r="F37" i="5"/>
  <c r="G35" i="5"/>
  <c r="C11" i="5"/>
  <c r="C35" i="5" s="1"/>
  <c r="L35" i="5"/>
  <c r="F35" i="5"/>
  <c r="K37" i="5"/>
  <c r="N37" i="5"/>
  <c r="E37" i="5"/>
  <c r="N35" i="5"/>
  <c r="K35" i="5"/>
  <c r="M35" i="5"/>
  <c r="G37" i="5"/>
  <c r="F38" i="5" l="1"/>
  <c r="C37" i="5"/>
  <c r="C38" i="5" s="1"/>
  <c r="L38" i="5"/>
  <c r="G38" i="5"/>
  <c r="M38" i="5"/>
  <c r="E38" i="5"/>
  <c r="N38" i="5"/>
  <c r="K38" i="5"/>
  <c r="C39" i="5" l="1"/>
  <c r="D39" i="5" l="1"/>
  <c r="E39" i="5" s="1"/>
  <c r="F39" i="5" s="1"/>
  <c r="G39" i="5" s="1"/>
  <c r="C40" i="5"/>
  <c r="D40" i="5" s="1"/>
  <c r="E40" i="5" s="1"/>
  <c r="F40" i="5" s="1"/>
  <c r="G40" i="5" s="1"/>
  <c r="H40" i="5" l="1"/>
  <c r="I40" i="5" s="1"/>
  <c r="J40" i="5" s="1"/>
  <c r="K40" i="5" s="1"/>
  <c r="L40" i="5" s="1"/>
  <c r="M40" i="5" s="1"/>
  <c r="N40" i="5" s="1"/>
  <c r="H39" i="5"/>
  <c r="I39" i="5" s="1"/>
  <c r="J39" i="5" s="1"/>
  <c r="K39" i="5" s="1"/>
  <c r="L39" i="5" s="1"/>
  <c r="M39" i="5" s="1"/>
  <c r="N39" i="5" s="1"/>
</calcChain>
</file>

<file path=xl/sharedStrings.xml><?xml version="1.0" encoding="utf-8"?>
<sst xmlns="http://schemas.openxmlformats.org/spreadsheetml/2006/main" count="103" uniqueCount="77">
  <si>
    <t>"Электроника"</t>
  </si>
  <si>
    <t>"Рисунок"</t>
  </si>
  <si>
    <t>"Графический дизайн"</t>
  </si>
  <si>
    <t>"Fashion-дизайн"</t>
  </si>
  <si>
    <t>"Архитектура"</t>
  </si>
  <si>
    <t>"Живопись"</t>
  </si>
  <si>
    <t>Стандартные курсы</t>
  </si>
  <si>
    <t>Расходы на проведение курсов:</t>
  </si>
  <si>
    <t>Цена, руб.</t>
  </si>
  <si>
    <t>Сумма, руб.</t>
  </si>
  <si>
    <t>Кол-во, шт.</t>
  </si>
  <si>
    <t>Маркетинговые расходы</t>
  </si>
  <si>
    <t>Паушальный взнос</t>
  </si>
  <si>
    <t>ЗАТРАТЫ НА ЗАПУСК</t>
  </si>
  <si>
    <t>ИТОГО с учетом паушального взноса:</t>
  </si>
  <si>
    <t>Выручка</t>
  </si>
  <si>
    <t>Расходы</t>
  </si>
  <si>
    <t>Заработная плата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</si>
  <si>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</si>
  <si>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</si>
  <si>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</si>
  <si>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</si>
  <si>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</si>
  <si>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</si>
  <si>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</si>
  <si>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</si>
  <si>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</si>
  <si>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</si>
  <si>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</si>
  <si>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</si>
  <si>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Ставка преподавателя</t>
  </si>
  <si>
    <t>Стоимость занятия</t>
  </si>
  <si>
    <t>Аренда офиса за кв.м.</t>
  </si>
  <si>
    <t>Количество занятий в месяц</t>
  </si>
  <si>
    <t>Аренда помещения</t>
  </si>
  <si>
    <t>Обслуживание офиса (охрана, уборка и т.д.)</t>
  </si>
  <si>
    <t>Прибыль</t>
  </si>
  <si>
    <t>Налоги</t>
  </si>
  <si>
    <t>Чистая прибыль</t>
  </si>
  <si>
    <t>Роялти</t>
  </si>
  <si>
    <t>Чистая прибыль нарастающим итогом</t>
  </si>
  <si>
    <t>Окупаемость инвестиций</t>
  </si>
  <si>
    <t>Необходимая площадь помещения</t>
  </si>
  <si>
    <t>кв.м.</t>
  </si>
  <si>
    <t>занятий</t>
  </si>
  <si>
    <t>учащихся</t>
  </si>
  <si>
    <t>руб./занятие</t>
  </si>
  <si>
    <t>ФИНАНСОВАЯ МОДЕЛЬ</t>
  </si>
  <si>
    <t>месяц</t>
  </si>
  <si>
    <t>Пояснение</t>
  </si>
  <si>
    <t>руб. за кв.м.</t>
  </si>
  <si>
    <t>Плэнер</t>
  </si>
  <si>
    <t>Расходы на занятия</t>
  </si>
  <si>
    <t>"Плэнер"</t>
  </si>
  <si>
    <t>Индивидуальные занятия</t>
  </si>
  <si>
    <t>Инд.занятия</t>
  </si>
  <si>
    <t>- Индивидуальные занятия</t>
  </si>
  <si>
    <t>Детский</t>
  </si>
  <si>
    <t>Взрослый</t>
  </si>
  <si>
    <t>Расширенный (детский+взрослый)</t>
  </si>
  <si>
    <t>"Дизайн интерьера"</t>
  </si>
  <si>
    <t>Выберите пакет</t>
  </si>
  <si>
    <t>"Основы графического дизайна"</t>
  </si>
  <si>
    <t>"Fashion иллюстрации"</t>
  </si>
  <si>
    <t>"Академический рисунок"</t>
  </si>
  <si>
    <t>Обстройство рабочего пространства</t>
  </si>
  <si>
    <t>Курсы детские</t>
  </si>
  <si>
    <t>Курсы взрослые</t>
  </si>
  <si>
    <t>Расходные материалы</t>
  </si>
  <si>
    <t>- Курсы детские</t>
  </si>
  <si>
    <t>- Курсы взрослые</t>
  </si>
  <si>
    <t>Бонус</t>
  </si>
  <si>
    <t>"Коуч-сессии по профориентации "</t>
  </si>
  <si>
    <t xml:space="preserve">Аренда помещения </t>
  </si>
  <si>
    <t>Компьютеры для                          "Дизайн интерьера" и                  "Графический дизайн"</t>
  </si>
  <si>
    <t>- Администратор</t>
  </si>
  <si>
    <t>Максимальное количество учеников в группе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</si>
</sst>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Museo Sans Cyrl 300"/>
      <charset val="204"/>
    </font>
    <font>
      <b/>
      <sz val="11"/>
      <color theme="1"/>
      <name val="Museo Sans Cyrl 500"/>
      <charset val="204"/>
    </font>
    <font>
      <u/>
      <sz val="11"/>
      <color theme="1"/>
      <name val="Museo Sans Cyrl 300"/>
      <charset val="204"/>
    </font>
    <font>
      <sz val="10"/>
      <color theme="1"/>
      <name val="Museo Sans Cyrl 300"/>
      <charset val="204"/>
    </font>
    <font>
      <b/>
      <sz val="11"/>
      <color theme="1"/>
      <name val="Museo Sans Cyrl 300"/>
      <charset val="204"/>
    </font>
    <font>
      <b/>
      <sz val="14"/>
      <color theme="1"/>
      <name val="Museo Sans Cyrl 300"/>
      <charset val="204"/>
    </font>
    <font>
      <b/>
      <u/>
      <sz val="14"/>
      <color theme="1"/>
      <name val="Museo Sans Cyrl 300"/>
      <charset val="204"/>
    </font>
    <font>
      <b/>
      <u/>
      <sz val="10"/>
      <color theme="1"/>
      <name val="Museo Sans Cyrl 300"/>
      <charset val="204"/>
    </font>
    <font>
      <b/>
      <sz val="11"/>
      <name val="Museo Sans Cyrl 300"/>
      <charset val="204"/>
    </font>
    <font>
      <sz val="9"/>
      <color theme="1"/>
      <name val="Museo Sans Cyrl 300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BED8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900A5"/>
      </left>
      <right/>
      <top style="medium">
        <color rgb="FF8900A5"/>
      </top>
      <bottom/>
      <diagonal/>
    </border>
    <border>
      <left/>
      <right/>
      <top style="medium">
        <color rgb="FF8900A5"/>
      </top>
      <bottom/>
      <diagonal/>
    </border>
    <border>
      <left/>
      <right style="medium">
        <color rgb="FF8900A5"/>
      </right>
      <top style="medium">
        <color rgb="FF8900A5"/>
      </top>
      <bottom/>
      <diagonal/>
    </border>
    <border>
      <left style="medium">
        <color rgb="FF8900A5"/>
      </left>
      <right/>
      <top/>
      <bottom/>
      <diagonal/>
    </border>
    <border>
      <left/>
      <right style="medium">
        <color rgb="FF8900A5"/>
      </right>
      <top/>
      <bottom/>
      <diagonal/>
    </border>
    <border>
      <left style="medium">
        <color rgb="FF8900A5"/>
      </left>
      <right/>
      <top/>
      <bottom style="medium">
        <color rgb="FF8900A5"/>
      </bottom>
      <diagonal/>
    </border>
    <border>
      <left/>
      <right/>
      <top/>
      <bottom style="medium">
        <color rgb="FF8900A5"/>
      </bottom>
      <diagonal/>
    </border>
    <border>
      <left/>
      <right style="medium">
        <color rgb="FF8900A5"/>
      </right>
      <top/>
      <bottom style="medium">
        <color rgb="FF8900A5"/>
      </bottom>
      <diagonal/>
    </border>
    <border>
      <left/>
      <right style="medium">
        <color indexed="64"/>
      </right>
      <top/>
      <bottom/>
      <diagonal/>
    </border>
    <border>
      <left style="medium">
        <color rgb="FF8900A5"/>
      </left>
      <right style="medium">
        <color rgb="FF8900A5"/>
      </right>
      <top style="medium">
        <color rgb="FF8900A5"/>
      </top>
      <bottom style="medium">
        <color rgb="FF8900A5"/>
      </bottom>
      <diagonal/>
    </border>
    <border>
      <left style="medium">
        <color rgb="FF8900A5"/>
      </left>
      <right style="medium">
        <color rgb="FF8900A5"/>
      </right>
      <top/>
      <bottom/>
      <diagonal/>
    </border>
    <border>
      <left style="medium">
        <color rgb="FF8900A5"/>
      </left>
      <right style="medium">
        <color rgb="FF8900A5"/>
      </right>
      <top style="medium">
        <color rgb="FF8900A5"/>
      </top>
      <bottom/>
      <diagonal/>
    </border>
    <border>
      <left style="medium">
        <color rgb="FF8900A5"/>
      </left>
      <right style="medium">
        <color rgb="FF8900A5"/>
      </right>
      <top/>
      <bottom style="medium">
        <color rgb="FF8900A5"/>
      </bottom>
      <diagonal/>
    </border>
    <border>
      <left/>
      <right style="medium">
        <color rgb="FF8900A5"/>
      </right>
      <top style="medium">
        <color rgb="FF8900A5"/>
      </top>
      <bottom style="medium">
        <color rgb="FF8900A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0" xfId="0" applyFont="1" applyFill="1"/>
    <xf numFmtId="0" fontId="1" fillId="2" borderId="0" xfId="1" applyFill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Border="1" applyAlignment="1">
      <alignment horizontal="center"/>
    </xf>
    <xf numFmtId="49" fontId="5" fillId="2" borderId="0" xfId="0" applyNumberFormat="1" applyFont="1" applyFill="1"/>
    <xf numFmtId="0" fontId="2" fillId="2" borderId="0" xfId="0" applyFont="1" applyFill="1" applyBorder="1" applyAlignment="1">
      <alignment horizontal="right"/>
    </xf>
    <xf numFmtId="0" fontId="5" fillId="3" borderId="1" xfId="0" applyFont="1" applyFill="1" applyBorder="1"/>
    <xf numFmtId="164" fontId="2" fillId="2" borderId="0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2" xfId="0" applyFont="1" applyFill="1" applyBorder="1" applyAlignment="1">
      <alignment horizontal="right"/>
    </xf>
    <xf numFmtId="164" fontId="2" fillId="2" borderId="12" xfId="0" applyNumberFormat="1" applyFont="1" applyFill="1" applyBorder="1"/>
    <xf numFmtId="0" fontId="2" fillId="2" borderId="14" xfId="0" applyFont="1" applyFill="1" applyBorder="1"/>
    <xf numFmtId="164" fontId="8" fillId="2" borderId="9" xfId="0" applyNumberFormat="1" applyFont="1" applyFill="1" applyBorder="1"/>
    <xf numFmtId="3" fontId="2" fillId="2" borderId="15" xfId="0" applyNumberFormat="1" applyFont="1" applyFill="1" applyBorder="1"/>
    <xf numFmtId="3" fontId="2" fillId="2" borderId="11" xfId="0" applyNumberFormat="1" applyFont="1" applyFill="1" applyBorder="1"/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3" fontId="6" fillId="2" borderId="11" xfId="0" applyNumberFormat="1" applyFont="1" applyFill="1" applyBorder="1"/>
    <xf numFmtId="3" fontId="6" fillId="2" borderId="15" xfId="0" applyNumberFormat="1" applyFont="1" applyFill="1" applyBorder="1"/>
    <xf numFmtId="3" fontId="6" fillId="2" borderId="12" xfId="0" applyNumberFormat="1" applyFont="1" applyFill="1" applyBorder="1"/>
    <xf numFmtId="3" fontId="6" fillId="2" borderId="6" xfId="0" applyNumberFormat="1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/>
    <xf numFmtId="0" fontId="5" fillId="2" borderId="14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right"/>
    </xf>
    <xf numFmtId="3" fontId="5" fillId="2" borderId="12" xfId="0" applyNumberFormat="1" applyFont="1" applyFill="1" applyBorder="1"/>
    <xf numFmtId="3" fontId="5" fillId="2" borderId="6" xfId="0" applyNumberFormat="1" applyFont="1" applyFill="1" applyBorder="1"/>
    <xf numFmtId="3" fontId="5" fillId="2" borderId="14" xfId="0" applyNumberFormat="1" applyFont="1" applyFill="1" applyBorder="1"/>
    <xf numFmtId="0" fontId="5" fillId="2" borderId="1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right"/>
    </xf>
    <xf numFmtId="3" fontId="10" fillId="2" borderId="11" xfId="0" applyNumberFormat="1" applyFont="1" applyFill="1" applyBorder="1"/>
    <xf numFmtId="0" fontId="9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right"/>
    </xf>
    <xf numFmtId="49" fontId="11" fillId="2" borderId="14" xfId="0" applyNumberFormat="1" applyFont="1" applyFill="1" applyBorder="1" applyAlignment="1">
      <alignment horizontal="right"/>
    </xf>
    <xf numFmtId="0" fontId="12" fillId="2" borderId="0" xfId="0" applyFont="1" applyFill="1"/>
    <xf numFmtId="0" fontId="2" fillId="0" borderId="1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0" fontId="2" fillId="2" borderId="12" xfId="0" applyFont="1" applyFill="1" applyBorder="1" applyAlignment="1">
      <alignment horizontal="right" wrapText="1"/>
    </xf>
    <xf numFmtId="49" fontId="5" fillId="2" borderId="12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8900A5"/>
      <color rgb="FF2145FF"/>
      <color rgb="FF3BED8C"/>
      <color rgb="FFFF8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42;&#1074;&#1086;&#1076; &#1076;&#1072;&#1085;&#1085;&#1099;&#1093;'!A1"/><Relationship Id="rId2" Type="http://schemas.openxmlformats.org/officeDocument/2006/relationships/hyperlink" Target="https://proektero.ru/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1042;&#1074;&#1086;&#1076; &#1076;&#1072;&#1085;&#1085;&#1099;&#1093;'!D8"/><Relationship Id="rId2" Type="http://schemas.openxmlformats.org/officeDocument/2006/relationships/hyperlink" Target="#'&#1047;&#1072;&#1090;&#1088;&#1072;&#1090;&#1099; &#1085;&#1072; &#1079;&#1072;&#1087;&#1091;&#1089;&#1082;'!A1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1042;&#1074;&#1086;&#1076; &#1076;&#1072;&#1085;&#1085;&#1099;&#1093;'!A1"/><Relationship Id="rId2" Type="http://schemas.openxmlformats.org/officeDocument/2006/relationships/hyperlink" Target="#'&#1060;&#1080;&#1085;&#1072;&#1085;&#1089;&#1086;&#1074;&#1072;&#1103; &#1084;&#1086;&#1076;&#1077;&#1083;&#1100;'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&#1047;&#1072;&#1090;&#1088;&#1072;&#1090;&#1099; &#1085;&#1072; &#1079;&#1072;&#1087;&#1091;&#1089;&#1082;'!A1"/><Relationship Id="rId2" Type="http://schemas.openxmlformats.org/officeDocument/2006/relationships/hyperlink" Target="#'&#1042;&#1074;&#1086;&#1076; &#1076;&#1072;&#1085;&#1085;&#1099;&#1093;'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12</xdr:col>
      <xdr:colOff>122891</xdr:colOff>
      <xdr:row>16</xdr:row>
      <xdr:rowOff>152399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66699"/>
          <a:ext cx="6799916" cy="2981325"/>
        </a:xfrm>
        <a:prstGeom prst="rect">
          <a:avLst/>
        </a:prstGeom>
      </xdr:spPr>
    </xdr:pic>
    <xdr:clientData/>
  </xdr:twoCellAnchor>
  <xdr:twoCellAnchor>
    <xdr:from>
      <xdr:col>5</xdr:col>
      <xdr:colOff>104775</xdr:colOff>
      <xdr:row>10</xdr:row>
      <xdr:rowOff>66675</xdr:rowOff>
    </xdr:from>
    <xdr:to>
      <xdr:col>7</xdr:col>
      <xdr:colOff>495300</xdr:colOff>
      <xdr:row>12</xdr:row>
      <xdr:rowOff>38100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52775" y="2019300"/>
          <a:ext cx="1609725" cy="352425"/>
        </a:xfrm>
        <a:prstGeom prst="flowChartAlternateProcess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latin typeface="Museo Sans Cyrl 300" panose="02000000000000000000" pitchFamily="2" charset="-52"/>
            </a:rPr>
            <a:t>proektero.ru</a:t>
          </a:r>
          <a:endParaRPr lang="ru-RU" sz="1400">
            <a:latin typeface="Museo Sans Cyrl 300" panose="02000000000000000000" pitchFamily="2" charset="-52"/>
          </a:endParaRPr>
        </a:p>
      </xdr:txBody>
    </xdr:sp>
    <xdr:clientData/>
  </xdr:twoCellAnchor>
  <xdr:twoCellAnchor>
    <xdr:from>
      <xdr:col>4</xdr:col>
      <xdr:colOff>304800</xdr:colOff>
      <xdr:row>17</xdr:row>
      <xdr:rowOff>123825</xdr:rowOff>
    </xdr:from>
    <xdr:to>
      <xdr:col>8</xdr:col>
      <xdr:colOff>485775</xdr:colOff>
      <xdr:row>20</xdr:row>
      <xdr:rowOff>57151</xdr:rowOff>
    </xdr:to>
    <xdr:sp macro="" textlink="">
      <xdr:nvSpPr>
        <xdr:cNvPr id="5" name="TextBox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43200" y="3400425"/>
          <a:ext cx="2619375" cy="504826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ВЫБРАТЬ ФОРМАТ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447676</xdr:colOff>
      <xdr:row>1</xdr:row>
      <xdr:rowOff>152400</xdr:rowOff>
    </xdr:from>
    <xdr:to>
      <xdr:col>3</xdr:col>
      <xdr:colOff>1052861</xdr:colOff>
      <xdr:row>5</xdr:row>
      <xdr:rowOff>180975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1" y="352425"/>
          <a:ext cx="1700560" cy="790575"/>
        </a:xfrm>
        <a:prstGeom prst="rect">
          <a:avLst/>
        </a:prstGeom>
      </xdr:spPr>
    </xdr:pic>
    <xdr:clientData/>
  </xdr:twoCellAnchor>
  <xdr:twoCellAnchor>
    <xdr:from>
      <xdr:col>1</xdr:col>
      <xdr:colOff>1352550</xdr:colOff>
      <xdr:row>21</xdr:row>
      <xdr:rowOff>152400</xdr:rowOff>
    </xdr:from>
    <xdr:to>
      <xdr:col>3</xdr:col>
      <xdr:colOff>2076450</xdr:colOff>
      <xdr:row>22</xdr:row>
      <xdr:rowOff>228600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962150" y="4067175"/>
          <a:ext cx="3981450" cy="428625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РАССЧИТАТЬ</a:t>
          </a:r>
        </a:p>
      </xdr:txBody>
    </xdr:sp>
    <xdr:clientData/>
  </xdr:twoCellAnchor>
  <xdr:twoCellAnchor>
    <xdr:from>
      <xdr:col>4</xdr:col>
      <xdr:colOff>190500</xdr:colOff>
      <xdr:row>7</xdr:row>
      <xdr:rowOff>0</xdr:rowOff>
    </xdr:from>
    <xdr:to>
      <xdr:col>4</xdr:col>
      <xdr:colOff>419100</xdr:colOff>
      <xdr:row>7</xdr:row>
      <xdr:rowOff>180975</xdr:rowOff>
    </xdr:to>
    <xdr:sp macro="" textlink="">
      <xdr:nvSpPr>
        <xdr:cNvPr id="8" name="Стрелка вправо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6829425" y="1685925"/>
          <a:ext cx="228600" cy="180975"/>
        </a:xfrm>
        <a:prstGeom prst="rightArrow">
          <a:avLst/>
        </a:prstGeom>
        <a:solidFill>
          <a:srgbClr val="2145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</xdr:col>
      <xdr:colOff>8335</xdr:colOff>
      <xdr:row>7</xdr:row>
      <xdr:rowOff>28575</xdr:rowOff>
    </xdr:from>
    <xdr:ext cx="155180" cy="161926"/>
    <xdr:pic>
      <xdr:nvPicPr>
        <xdr:cNvPr id="9" name="Рисунок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7260" y="1714500"/>
          <a:ext cx="155180" cy="16192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1647825</xdr:colOff>
      <xdr:row>1</xdr:row>
      <xdr:rowOff>104775</xdr:rowOff>
    </xdr:from>
    <xdr:to>
      <xdr:col>3</xdr:col>
      <xdr:colOff>112001</xdr:colOff>
      <xdr:row>5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304800"/>
          <a:ext cx="1700560" cy="790575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24</xdr:row>
      <xdr:rowOff>19050</xdr:rowOff>
    </xdr:from>
    <xdr:to>
      <xdr:col>9</xdr:col>
      <xdr:colOff>314325</xdr:colOff>
      <xdr:row>27</xdr:row>
      <xdr:rowOff>0</xdr:rowOff>
    </xdr:to>
    <xdr:sp macro="" textlink="">
      <xdr:nvSpPr>
        <xdr:cNvPr id="9" name="TextBox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934075" y="3514725"/>
          <a:ext cx="2619375" cy="619125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ФИНАНСОВАЯ</a:t>
          </a:r>
          <a:r>
            <a:rPr lang="ru-RU" sz="1400" b="0" baseline="0">
              <a:latin typeface="Museo Sans Cyrl 500" panose="02000000000000000000" pitchFamily="2" charset="-52"/>
            </a:rPr>
            <a:t> МОДЕЛЬ</a:t>
          </a:r>
          <a:endParaRPr lang="ru-RU" sz="1400" b="0">
            <a:latin typeface="Museo Sans Cyrl 500" panose="02000000000000000000" pitchFamily="2" charset="-52"/>
          </a:endParaRPr>
        </a:p>
      </xdr:txBody>
    </xdr:sp>
    <xdr:clientData/>
  </xdr:twoCellAnchor>
  <xdr:twoCellAnchor>
    <xdr:from>
      <xdr:col>5</xdr:col>
      <xdr:colOff>143932</xdr:colOff>
      <xdr:row>13</xdr:row>
      <xdr:rowOff>40214</xdr:rowOff>
    </xdr:from>
    <xdr:to>
      <xdr:col>9</xdr:col>
      <xdr:colOff>324907</xdr:colOff>
      <xdr:row>23</xdr:row>
      <xdr:rowOff>95248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43599" y="2633131"/>
          <a:ext cx="2636308" cy="594784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ВЕРНУТЬСЯ</a:t>
          </a:r>
          <a:r>
            <a:rPr lang="ru-RU" sz="1400" b="0" baseline="0">
              <a:latin typeface="Museo Sans Cyrl 500" panose="02000000000000000000" pitchFamily="2" charset="-52"/>
            </a:rPr>
            <a:t>  </a:t>
          </a:r>
        </a:p>
        <a:p>
          <a:pPr algn="ctr"/>
          <a:r>
            <a:rPr lang="ru-RU" sz="1400" b="0" baseline="0">
              <a:latin typeface="Museo Sans Cyrl 500" panose="02000000000000000000" pitchFamily="2" charset="-52"/>
            </a:rPr>
            <a:t>К ВЫБОРУ ФОРМАТА</a:t>
          </a:r>
          <a:endParaRPr lang="ru-RU" sz="1400" b="0">
            <a:latin typeface="Museo Sans Cyrl 500" panose="02000000000000000000" pitchFamily="2" charset="-52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114300</xdr:rowOff>
    </xdr:from>
    <xdr:to>
      <xdr:col>7</xdr:col>
      <xdr:colOff>119409</xdr:colOff>
      <xdr:row>6</xdr:row>
      <xdr:rowOff>95250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85750"/>
          <a:ext cx="1700560" cy="790575"/>
        </a:xfrm>
        <a:prstGeom prst="rect">
          <a:avLst/>
        </a:prstGeom>
      </xdr:spPr>
    </xdr:pic>
    <xdr:clientData/>
  </xdr:twoCellAnchor>
  <xdr:twoCellAnchor>
    <xdr:from>
      <xdr:col>6</xdr:col>
      <xdr:colOff>447675</xdr:colOff>
      <xdr:row>52</xdr:row>
      <xdr:rowOff>95250</xdr:rowOff>
    </xdr:from>
    <xdr:to>
      <xdr:col>10</xdr:col>
      <xdr:colOff>200025</xdr:colOff>
      <xdr:row>56</xdr:row>
      <xdr:rowOff>95250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686550" y="6838950"/>
          <a:ext cx="2619375" cy="647700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ВЕРНУТЬСЯ</a:t>
          </a:r>
          <a:r>
            <a:rPr lang="ru-RU" sz="1400" b="0" baseline="0">
              <a:latin typeface="Museo Sans Cyrl 500" panose="02000000000000000000" pitchFamily="2" charset="-52"/>
            </a:rPr>
            <a:t>  </a:t>
          </a:r>
        </a:p>
        <a:p>
          <a:pPr algn="ctr"/>
          <a:r>
            <a:rPr lang="ru-RU" sz="1400" b="0" baseline="0">
              <a:latin typeface="Museo Sans Cyrl 500" panose="02000000000000000000" pitchFamily="2" charset="-52"/>
            </a:rPr>
            <a:t>К ВЫБОРУ ФОРМАТА</a:t>
          </a:r>
          <a:endParaRPr lang="ru-RU" sz="1400" b="0">
            <a:latin typeface="Museo Sans Cyrl 500" panose="02000000000000000000" pitchFamily="2" charset="-52"/>
          </a:endParaRPr>
        </a:p>
      </xdr:txBody>
    </xdr:sp>
    <xdr:clientData/>
  </xdr:twoCellAnchor>
  <xdr:twoCellAnchor>
    <xdr:from>
      <xdr:col>10</xdr:col>
      <xdr:colOff>381000</xdr:colOff>
      <xdr:row>52</xdr:row>
      <xdr:rowOff>95250</xdr:rowOff>
    </xdr:from>
    <xdr:to>
      <xdr:col>14</xdr:col>
      <xdr:colOff>9525</xdr:colOff>
      <xdr:row>56</xdr:row>
      <xdr:rowOff>95250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486900" y="6838950"/>
          <a:ext cx="2619375" cy="647700"/>
        </a:xfrm>
        <a:prstGeom prst="rect">
          <a:avLst/>
        </a:prstGeom>
        <a:solidFill>
          <a:srgbClr val="FF82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0">
              <a:latin typeface="Museo Sans Cyrl 500" panose="02000000000000000000" pitchFamily="2" charset="-52"/>
            </a:rPr>
            <a:t>ВЕРНУТСЯ К </a:t>
          </a:r>
        </a:p>
        <a:p>
          <a:pPr algn="ctr"/>
          <a:r>
            <a:rPr lang="ru-RU" sz="1400" b="0">
              <a:latin typeface="Museo Sans Cyrl 500" panose="02000000000000000000" pitchFamily="2" charset="-52"/>
            </a:rPr>
            <a:t>ЗАТРАТАМ НА ЗАПУСК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O17"/>
  <sheetViews>
    <sheetView tabSelected="1" workbookViewId="0">
      <selection activeCell="D38" sqref="D38"/>
    </sheetView>
  </sheetViews>
  <sheetFormatPr defaultRowHeight="15"/>
  <cols>
    <col min="1" max="12" width="9.140625" style="1"/>
    <col min="13" max="13" width="2.28515625" style="1" customWidth="1"/>
    <col min="14" max="16384" width="9.140625" style="1"/>
  </cols>
  <sheetData>
    <row r="1" spans="2:15" ht="18.75" customHeight="1" thickBot="1"/>
    <row r="2" spans="2: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2:15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7"/>
    </row>
    <row r="4" spans="2:1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7"/>
    </row>
    <row r="5" spans="2:1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7"/>
    </row>
    <row r="6" spans="2:1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7"/>
    </row>
    <row r="7" spans="2:1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7"/>
      <c r="O7" s="68"/>
    </row>
    <row r="8" spans="2:1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7"/>
    </row>
    <row r="9" spans="2:15"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2:15"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2:15"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2:15"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2:15"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2:15"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2:15"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2:15"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2:13" ht="14.25" customHeight="1" thickBo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M28"/>
  <sheetViews>
    <sheetView zoomScaleNormal="100" workbookViewId="0"/>
  </sheetViews>
  <sheetFormatPr defaultRowHeight="14.25"/>
  <cols>
    <col min="1" max="1" width="9.140625" style="11"/>
    <col min="2" max="2" width="32.42578125" style="11" customWidth="1"/>
    <col min="3" max="3" width="16.42578125" style="11" customWidth="1"/>
    <col min="4" max="4" width="41.5703125" style="11" customWidth="1"/>
    <col min="5" max="5" width="7.5703125" style="11" customWidth="1"/>
    <col min="6" max="6" width="9.140625" style="11" customWidth="1"/>
    <col min="7" max="7" width="16.42578125" style="11" hidden="1" customWidth="1"/>
    <col min="8" max="8" width="26.5703125" style="11" customWidth="1"/>
    <col min="9" max="16384" width="9.140625" style="11"/>
  </cols>
  <sheetData>
    <row r="1" spans="2:9" ht="15" thickBot="1"/>
    <row r="2" spans="2:9">
      <c r="B2" s="13"/>
      <c r="C2" s="14"/>
      <c r="D2" s="14"/>
      <c r="E2" s="15"/>
    </row>
    <row r="3" spans="2:9">
      <c r="B3" s="16"/>
      <c r="C3" s="17"/>
      <c r="D3" s="17"/>
      <c r="E3" s="18"/>
    </row>
    <row r="4" spans="2:9">
      <c r="B4" s="16"/>
      <c r="C4" s="17"/>
      <c r="D4" s="17"/>
      <c r="E4" s="18"/>
    </row>
    <row r="5" spans="2:9">
      <c r="B5" s="16"/>
      <c r="C5" s="17"/>
      <c r="D5" s="17"/>
      <c r="E5" s="18"/>
    </row>
    <row r="6" spans="2:9" ht="15">
      <c r="B6" s="16"/>
      <c r="C6" s="17"/>
      <c r="D6" s="17"/>
      <c r="E6" s="18"/>
      <c r="G6"/>
    </row>
    <row r="7" spans="2:9" ht="15.75" thickBot="1">
      <c r="B7" s="16"/>
      <c r="C7" s="17"/>
      <c r="D7" s="17"/>
      <c r="E7" s="18"/>
      <c r="G7"/>
    </row>
    <row r="8" spans="2:9" ht="15.75" thickBot="1">
      <c r="B8" s="76" t="s">
        <v>61</v>
      </c>
      <c r="C8" s="77"/>
      <c r="D8" s="27" t="s">
        <v>57</v>
      </c>
      <c r="E8" s="18"/>
      <c r="G8"/>
    </row>
    <row r="9" spans="2:9" ht="15">
      <c r="B9" s="16"/>
      <c r="C9" s="17"/>
      <c r="D9" s="17"/>
      <c r="E9" s="18"/>
      <c r="G9" t="s">
        <v>57</v>
      </c>
    </row>
    <row r="10" spans="2:9" ht="15">
      <c r="B10" s="81" t="s">
        <v>6</v>
      </c>
      <c r="C10" s="78"/>
      <c r="D10" s="78" t="s">
        <v>71</v>
      </c>
      <c r="E10" s="79"/>
      <c r="G10" t="s">
        <v>58</v>
      </c>
    </row>
    <row r="11" spans="2:9" ht="15">
      <c r="B11" s="74" t="s">
        <v>5</v>
      </c>
      <c r="C11" s="75"/>
      <c r="D11" s="75" t="s">
        <v>72</v>
      </c>
      <c r="E11" s="80"/>
      <c r="G11" t="s">
        <v>59</v>
      </c>
    </row>
    <row r="12" spans="2:9" ht="15">
      <c r="B12" s="74" t="s">
        <v>4</v>
      </c>
      <c r="C12" s="75"/>
      <c r="D12" s="78"/>
      <c r="E12" s="79"/>
      <c r="G12"/>
    </row>
    <row r="13" spans="2:9" ht="15">
      <c r="B13" s="74" t="s">
        <v>3</v>
      </c>
      <c r="C13" s="75"/>
      <c r="D13" s="75"/>
      <c r="E13" s="80"/>
      <c r="G13"/>
    </row>
    <row r="14" spans="2:9" ht="15">
      <c r="B14" s="74" t="s">
        <v>0</v>
      </c>
      <c r="C14" s="75"/>
      <c r="D14" s="24"/>
      <c r="E14" s="18"/>
      <c r="I14" s="12"/>
    </row>
    <row r="15" spans="2:9">
      <c r="B15" s="74" t="s">
        <v>1</v>
      </c>
      <c r="C15" s="75"/>
      <c r="D15" s="17"/>
      <c r="E15" s="18"/>
      <c r="G15" s="11" t="str">
        <f>D8</f>
        <v>Детский</v>
      </c>
    </row>
    <row r="16" spans="2:9">
      <c r="B16" s="74" t="s">
        <v>53</v>
      </c>
      <c r="C16" s="75"/>
      <c r="D16" s="17"/>
      <c r="E16" s="18"/>
    </row>
    <row r="17" spans="2:13">
      <c r="B17" s="74" t="s">
        <v>62</v>
      </c>
      <c r="C17" s="75"/>
      <c r="D17" s="17"/>
      <c r="E17" s="18"/>
    </row>
    <row r="18" spans="2:13">
      <c r="B18" s="74" t="s">
        <v>60</v>
      </c>
      <c r="C18" s="75"/>
      <c r="D18" s="17"/>
      <c r="E18" s="18"/>
    </row>
    <row r="19" spans="2:13">
      <c r="B19" s="74" t="s">
        <v>63</v>
      </c>
      <c r="C19" s="75"/>
      <c r="D19" s="17"/>
      <c r="E19" s="18"/>
    </row>
    <row r="20" spans="2:13">
      <c r="B20" s="74" t="s">
        <v>2</v>
      </c>
      <c r="C20" s="75"/>
      <c r="D20" s="17"/>
      <c r="E20" s="18"/>
    </row>
    <row r="21" spans="2:13">
      <c r="B21" s="74" t="s">
        <v>64</v>
      </c>
      <c r="C21" s="75"/>
      <c r="D21" s="17"/>
      <c r="E21" s="18"/>
    </row>
    <row r="22" spans="2:13" ht="27.75" customHeight="1">
      <c r="B22" s="20"/>
      <c r="C22" s="26"/>
      <c r="D22" s="17"/>
      <c r="E22" s="18"/>
    </row>
    <row r="23" spans="2:13" ht="24.75" customHeight="1" thickBot="1">
      <c r="B23" s="21"/>
      <c r="C23" s="22"/>
      <c r="D23" s="22"/>
      <c r="E23" s="23"/>
    </row>
    <row r="24" spans="2:13" ht="1.5" customHeight="1"/>
    <row r="25" spans="2:13" ht="15">
      <c r="B25" s="25"/>
      <c r="C25" s="25"/>
      <c r="E25" s="12"/>
    </row>
    <row r="28" spans="2:13">
      <c r="M28" s="44"/>
    </row>
  </sheetData>
  <mergeCells count="17">
    <mergeCell ref="D12:E12"/>
    <mergeCell ref="D13:E13"/>
    <mergeCell ref="B10:C10"/>
    <mergeCell ref="B12:C12"/>
    <mergeCell ref="B13:C13"/>
    <mergeCell ref="D10:E10"/>
    <mergeCell ref="D11:E11"/>
    <mergeCell ref="B11:C11"/>
    <mergeCell ref="B21:C21"/>
    <mergeCell ref="B8:C8"/>
    <mergeCell ref="B19:C19"/>
    <mergeCell ref="B20:C20"/>
    <mergeCell ref="B14:C14"/>
    <mergeCell ref="B15:C15"/>
    <mergeCell ref="B16:C16"/>
    <mergeCell ref="B18:C18"/>
    <mergeCell ref="B17:C17"/>
  </mergeCells>
  <dataValidations count="1">
    <dataValidation type="list" showInputMessage="1" showErrorMessage="1" sqref="D8" xr:uid="{00000000-0002-0000-0100-000001000000}">
      <formula1>$G$9:$G$11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N28"/>
  <sheetViews>
    <sheetView zoomScale="90" zoomScaleNormal="90" workbookViewId="0"/>
  </sheetViews>
  <sheetFormatPr defaultRowHeight="14.25"/>
  <cols>
    <col min="1" max="1" width="10" style="11" customWidth="1"/>
    <col min="2" max="2" width="36.140625" style="11" customWidth="1"/>
    <col min="3" max="3" width="12.28515625" style="11" bestFit="1" customWidth="1"/>
    <col min="4" max="4" width="13.140625" style="11" bestFit="1" customWidth="1"/>
    <col min="5" max="5" width="16.42578125" style="11" bestFit="1" customWidth="1"/>
    <col min="6" max="10" width="9.140625" style="11"/>
    <col min="11" max="11" width="4.85546875" style="11" customWidth="1"/>
    <col min="12" max="12" width="0" style="11" hidden="1" customWidth="1"/>
    <col min="13" max="13" width="9.5703125" style="11" hidden="1" customWidth="1"/>
    <col min="14" max="14" width="17.7109375" style="11" hidden="1" customWidth="1"/>
    <col min="15" max="16384" width="9.140625" style="11"/>
  </cols>
  <sheetData>
    <row r="1" spans="1:13" ht="15" thickBot="1"/>
    <row r="2" spans="1:13">
      <c r="B2" s="13"/>
      <c r="C2" s="14"/>
      <c r="D2" s="14"/>
      <c r="E2" s="15"/>
    </row>
    <row r="3" spans="1:13">
      <c r="B3" s="16"/>
      <c r="C3" s="17"/>
      <c r="D3" s="17"/>
      <c r="E3" s="18"/>
    </row>
    <row r="4" spans="1:13">
      <c r="B4" s="16"/>
      <c r="C4" s="17"/>
      <c r="D4" s="17"/>
      <c r="E4" s="18"/>
    </row>
    <row r="5" spans="1:13">
      <c r="B5" s="16"/>
      <c r="C5" s="17"/>
      <c r="D5" s="17"/>
      <c r="E5" s="18"/>
    </row>
    <row r="6" spans="1:13">
      <c r="B6" s="16"/>
      <c r="C6" s="17"/>
      <c r="D6" s="17"/>
      <c r="E6" s="18"/>
    </row>
    <row r="7" spans="1:13" ht="21" customHeight="1">
      <c r="B7" s="86" t="s">
        <v>13</v>
      </c>
      <c r="C7" s="87"/>
      <c r="D7" s="87"/>
      <c r="E7" s="88"/>
    </row>
    <row r="8" spans="1:13" ht="11.25" customHeight="1">
      <c r="B8" s="16"/>
      <c r="C8" s="17"/>
      <c r="D8" s="17"/>
      <c r="E8" s="18"/>
    </row>
    <row r="9" spans="1:13" ht="15" thickBot="1">
      <c r="B9" s="29"/>
      <c r="C9" s="24" t="s">
        <v>8</v>
      </c>
      <c r="D9" s="19" t="s">
        <v>10</v>
      </c>
      <c r="E9" s="30" t="s">
        <v>9</v>
      </c>
    </row>
    <row r="10" spans="1:13">
      <c r="A10" s="17"/>
      <c r="B10" s="31" t="s">
        <v>7</v>
      </c>
      <c r="C10" s="14"/>
      <c r="D10" s="13"/>
      <c r="E10" s="31"/>
    </row>
    <row r="11" spans="1:13">
      <c r="A11" s="17"/>
      <c r="B11" s="32" t="s">
        <v>5</v>
      </c>
      <c r="C11" s="28">
        <f>10000</f>
        <v>10000</v>
      </c>
      <c r="D11" s="16">
        <v>1</v>
      </c>
      <c r="E11" s="33">
        <f>C11*D11</f>
        <v>10000</v>
      </c>
    </row>
    <row r="12" spans="1:13">
      <c r="A12" s="17"/>
      <c r="B12" s="32" t="s">
        <v>4</v>
      </c>
      <c r="C12" s="28">
        <f>IF('Ввод данных'!G15="Взрослый",0,1000)</f>
        <v>1000</v>
      </c>
      <c r="D12" s="16">
        <v>8</v>
      </c>
      <c r="E12" s="33">
        <f t="shared" ref="E12:E16" si="0">C12*D12</f>
        <v>8000</v>
      </c>
    </row>
    <row r="13" spans="1:13">
      <c r="A13" s="17"/>
      <c r="B13" s="69" t="s">
        <v>3</v>
      </c>
      <c r="C13" s="28">
        <f>IF('Ввод данных'!G15="Взрослый",0,2000)</f>
        <v>2000</v>
      </c>
      <c r="D13" s="16">
        <v>1</v>
      </c>
      <c r="E13" s="33">
        <f t="shared" si="0"/>
        <v>2000</v>
      </c>
    </row>
    <row r="14" spans="1:13">
      <c r="A14" s="17"/>
      <c r="B14" s="32" t="s">
        <v>0</v>
      </c>
      <c r="C14" s="28">
        <f>IF('Ввод данных'!G15="Взрослый",0,1500)</f>
        <v>1500</v>
      </c>
      <c r="D14" s="16">
        <v>8</v>
      </c>
      <c r="E14" s="33">
        <f t="shared" si="0"/>
        <v>12000</v>
      </c>
    </row>
    <row r="15" spans="1:13">
      <c r="A15" s="17"/>
      <c r="B15" s="32" t="s">
        <v>1</v>
      </c>
      <c r="C15" s="28">
        <f>IF('Ввод данных'!G15="Взрослый",0,5000)</f>
        <v>5000</v>
      </c>
      <c r="D15" s="16">
        <v>1</v>
      </c>
      <c r="E15" s="33">
        <f t="shared" si="0"/>
        <v>5000</v>
      </c>
    </row>
    <row r="16" spans="1:13">
      <c r="A16" s="17"/>
      <c r="B16" s="32" t="s">
        <v>53</v>
      </c>
      <c r="C16" s="28">
        <f>IF('Ввод данных'!G15="Взрослый",0,1500)</f>
        <v>1500</v>
      </c>
      <c r="D16" s="16">
        <v>1</v>
      </c>
      <c r="E16" s="33">
        <f t="shared" si="0"/>
        <v>1500</v>
      </c>
      <c r="M16" s="11">
        <f>IF('Ввод данных'!$G$15="Детский",0,10000)</f>
        <v>0</v>
      </c>
    </row>
    <row r="17" spans="1:13">
      <c r="A17" s="17"/>
      <c r="B17" s="32" t="s">
        <v>62</v>
      </c>
      <c r="C17" s="28">
        <f>IF('Ввод данных'!G15="Взрослый",0,500)</f>
        <v>500</v>
      </c>
      <c r="D17" s="16">
        <v>8</v>
      </c>
      <c r="E17" s="33">
        <f>C17*D17</f>
        <v>4000</v>
      </c>
      <c r="M17" s="11">
        <f>IF('Ввод данных'!$G$15="Детский",280000,IF('Ввод данных'!$G$15="Взрослый",300000,440000))</f>
        <v>280000</v>
      </c>
    </row>
    <row r="18" spans="1:13">
      <c r="A18" s="17"/>
      <c r="B18" s="32" t="s">
        <v>60</v>
      </c>
      <c r="C18" s="28">
        <v>0</v>
      </c>
      <c r="D18" s="16">
        <v>1</v>
      </c>
      <c r="E18" s="33">
        <f t="shared" ref="E18:E22" si="1">C18*D18</f>
        <v>0</v>
      </c>
    </row>
    <row r="19" spans="1:13">
      <c r="A19" s="17"/>
      <c r="B19" s="69" t="s">
        <v>63</v>
      </c>
      <c r="C19" s="28">
        <f>IF('Ввод данных'!G15="Детский",0,5000)</f>
        <v>0</v>
      </c>
      <c r="D19" s="16">
        <v>1</v>
      </c>
      <c r="E19" s="33">
        <f t="shared" si="1"/>
        <v>0</v>
      </c>
    </row>
    <row r="20" spans="1:13">
      <c r="A20" s="17"/>
      <c r="B20" s="32" t="s">
        <v>2</v>
      </c>
      <c r="C20" s="28">
        <f>IF('Ввод данных'!G16="Детский",0,0)</f>
        <v>0</v>
      </c>
      <c r="D20" s="16">
        <v>4</v>
      </c>
      <c r="E20" s="33">
        <f t="shared" si="1"/>
        <v>0</v>
      </c>
    </row>
    <row r="21" spans="1:13">
      <c r="A21" s="17"/>
      <c r="B21" s="32" t="s">
        <v>64</v>
      </c>
      <c r="C21" s="28">
        <f>IF('Ввод данных'!G15="Детский",0,1000)</f>
        <v>0</v>
      </c>
      <c r="D21" s="16">
        <v>8</v>
      </c>
      <c r="E21" s="33">
        <f t="shared" si="1"/>
        <v>0</v>
      </c>
    </row>
    <row r="22" spans="1:13" ht="42.75">
      <c r="A22" s="17"/>
      <c r="B22" s="72" t="s">
        <v>74</v>
      </c>
      <c r="C22" s="28">
        <f>IF('Ввод данных'!G15="Детский",0,67000)</f>
        <v>0</v>
      </c>
      <c r="D22" s="16">
        <v>4</v>
      </c>
      <c r="E22" s="33">
        <f t="shared" si="1"/>
        <v>0</v>
      </c>
    </row>
    <row r="23" spans="1:13">
      <c r="A23" s="17"/>
      <c r="B23" s="32" t="s">
        <v>73</v>
      </c>
      <c r="C23" s="91">
        <v>27000</v>
      </c>
      <c r="D23" s="84"/>
      <c r="E23" s="85"/>
    </row>
    <row r="24" spans="1:13">
      <c r="A24" s="17"/>
      <c r="B24" s="29" t="s">
        <v>11</v>
      </c>
      <c r="C24" s="84">
        <v>15000</v>
      </c>
      <c r="D24" s="84"/>
      <c r="E24" s="85"/>
    </row>
    <row r="25" spans="1:13">
      <c r="A25" s="17"/>
      <c r="B25" s="29" t="s">
        <v>65</v>
      </c>
      <c r="C25" s="84">
        <v>135000</v>
      </c>
      <c r="D25" s="84"/>
      <c r="E25" s="85"/>
    </row>
    <row r="26" spans="1:13" ht="15" thickBot="1">
      <c r="A26" s="17"/>
      <c r="B26" s="34" t="s">
        <v>12</v>
      </c>
      <c r="C26" s="82">
        <f>M16+M17</f>
        <v>280000</v>
      </c>
      <c r="D26" s="82"/>
      <c r="E26" s="83"/>
    </row>
    <row r="27" spans="1:13" ht="18.75" thickBot="1">
      <c r="A27" s="17"/>
      <c r="B27" s="89" t="s">
        <v>14</v>
      </c>
      <c r="C27" s="90"/>
      <c r="D27" s="90"/>
      <c r="E27" s="35">
        <f>SUM(E11:E22)+SUM(C23:E26)</f>
        <v>499500</v>
      </c>
    </row>
    <row r="28" spans="1:13" ht="15">
      <c r="B28" s="25"/>
      <c r="C28" s="25"/>
      <c r="E28" s="12"/>
    </row>
  </sheetData>
  <mergeCells count="6">
    <mergeCell ref="C26:E26"/>
    <mergeCell ref="C24:E24"/>
    <mergeCell ref="C25:E25"/>
    <mergeCell ref="B7:E7"/>
    <mergeCell ref="B27:D27"/>
    <mergeCell ref="C23:E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B1:W52"/>
  <sheetViews>
    <sheetView topLeftCell="A10" zoomScale="85" zoomScaleNormal="85" workbookViewId="0"/>
  </sheetViews>
  <sheetFormatPr defaultRowHeight="12.75"/>
  <cols>
    <col min="1" max="1" width="3.140625" style="44" customWidth="1"/>
    <col min="2" max="2" width="49" style="44" bestFit="1" customWidth="1"/>
    <col min="3" max="3" width="14.140625" style="44" customWidth="1"/>
    <col min="4" max="4" width="15.7109375" style="44" customWidth="1"/>
    <col min="5" max="5" width="11.85546875" style="44" bestFit="1" customWidth="1"/>
    <col min="6" max="6" width="10.7109375" style="44" bestFit="1" customWidth="1"/>
    <col min="7" max="7" width="10.85546875" style="44" bestFit="1" customWidth="1"/>
    <col min="8" max="8" width="10.7109375" style="44" bestFit="1" customWidth="1"/>
    <col min="9" max="9" width="10.85546875" style="44" bestFit="1" customWidth="1"/>
    <col min="10" max="10" width="10.5703125" style="44" bestFit="1" customWidth="1"/>
    <col min="11" max="12" width="12.7109375" style="44" bestFit="1" customWidth="1"/>
    <col min="13" max="13" width="12.28515625" style="44" bestFit="1" customWidth="1"/>
    <col min="14" max="14" width="12.5703125" style="44" bestFit="1" customWidth="1"/>
    <col min="15" max="16384" width="9.140625" style="44"/>
  </cols>
  <sheetData>
    <row r="1" spans="2:14" ht="13.5" thickBot="1"/>
    <row r="2" spans="2:14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2:14">
      <c r="B3" s="48"/>
      <c r="N3" s="49"/>
    </row>
    <row r="4" spans="2:14">
      <c r="B4" s="48"/>
      <c r="N4" s="49"/>
    </row>
    <row r="5" spans="2:14">
      <c r="B5" s="48"/>
      <c r="N5" s="49"/>
    </row>
    <row r="6" spans="2:14">
      <c r="B6" s="48"/>
      <c r="N6" s="49"/>
    </row>
    <row r="7" spans="2:14">
      <c r="B7" s="48"/>
      <c r="N7" s="49"/>
    </row>
    <row r="8" spans="2:14" ht="18">
      <c r="B8" s="86" t="s">
        <v>47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2:14" ht="13.5" thickBot="1">
      <c r="B9" s="48"/>
      <c r="C9" s="50"/>
      <c r="D9" s="50"/>
      <c r="E9" s="50"/>
      <c r="F9" s="50"/>
      <c r="G9" s="50"/>
      <c r="H9" s="50"/>
      <c r="I9" s="50"/>
      <c r="J9" s="51"/>
      <c r="K9" s="50"/>
      <c r="L9" s="50"/>
      <c r="M9" s="50"/>
      <c r="N9" s="52"/>
    </row>
    <row r="10" spans="2:14" ht="13.5" thickBot="1">
      <c r="B10" s="53" t="s">
        <v>48</v>
      </c>
      <c r="C10" s="54" t="s">
        <v>18</v>
      </c>
      <c r="D10" s="54" t="s">
        <v>19</v>
      </c>
      <c r="E10" s="54" t="s">
        <v>20</v>
      </c>
      <c r="F10" s="54" t="s">
        <v>21</v>
      </c>
      <c r="G10" s="54" t="s">
        <v>22</v>
      </c>
      <c r="H10" s="54" t="s">
        <v>23</v>
      </c>
      <c r="I10" s="54" t="s">
        <v>24</v>
      </c>
      <c r="J10" s="54" t="s">
        <v>25</v>
      </c>
      <c r="K10" s="54" t="s">
        <v>26</v>
      </c>
      <c r="L10" s="54" t="s">
        <v>27</v>
      </c>
      <c r="M10" s="54" t="s">
        <v>28</v>
      </c>
      <c r="N10" s="55" t="s">
        <v>29</v>
      </c>
    </row>
    <row r="11" spans="2:14" s="17" customFormat="1" ht="15.75" thickBot="1">
      <c r="B11" s="38" t="s">
        <v>15</v>
      </c>
      <c r="C11" s="37">
        <f t="shared" ref="C11:N11" si="0">SUM(C12:C24)</f>
        <v>145600</v>
      </c>
      <c r="D11" s="37">
        <f t="shared" si="0"/>
        <v>251200</v>
      </c>
      <c r="E11" s="37">
        <f t="shared" si="0"/>
        <v>356800</v>
      </c>
      <c r="F11" s="37">
        <f t="shared" si="0"/>
        <v>462400</v>
      </c>
      <c r="G11" s="37">
        <f t="shared" si="0"/>
        <v>462400</v>
      </c>
      <c r="H11" s="37">
        <f t="shared" si="0"/>
        <v>172000</v>
      </c>
      <c r="I11" s="37">
        <f t="shared" si="0"/>
        <v>40000</v>
      </c>
      <c r="J11" s="37">
        <f t="shared" si="0"/>
        <v>40000</v>
      </c>
      <c r="K11" s="37">
        <f t="shared" si="0"/>
        <v>462400</v>
      </c>
      <c r="L11" s="37">
        <f t="shared" si="0"/>
        <v>462400</v>
      </c>
      <c r="M11" s="37">
        <f t="shared" si="0"/>
        <v>462400</v>
      </c>
      <c r="N11" s="36">
        <f t="shared" si="0"/>
        <v>462400</v>
      </c>
    </row>
    <row r="12" spans="2:14">
      <c r="B12" s="56" t="s">
        <v>5</v>
      </c>
      <c r="C12" s="57">
        <f>IF('Ввод данных'!G15="Взрослый",0,($C$46*$C$47*$C$48/4))</f>
        <v>17600</v>
      </c>
      <c r="D12" s="57">
        <f>IF('Ввод данных'!G15="Взрослый",0,($C$46*$C$47*$C$48/2))</f>
        <v>35200</v>
      </c>
      <c r="E12" s="57">
        <f>IF('Ввод данных'!$G$15="Взрослый",0,($C$46*$C$47*$C$48*(3/4)))</f>
        <v>52800</v>
      </c>
      <c r="F12" s="57">
        <f>IF('Ввод данных'!$G$15="Взрослый",0,($C$46*$C$47*$C$48))</f>
        <v>70400</v>
      </c>
      <c r="G12" s="57">
        <f>IF('Ввод данных'!$G$15="Взрослый",0,($C$46*$C$47*$C$48))</f>
        <v>70400</v>
      </c>
      <c r="H12" s="57"/>
      <c r="I12" s="57"/>
      <c r="J12" s="57"/>
      <c r="K12" s="57">
        <f>IF('Ввод данных'!$G$15="Взрослый",0,($C$46*$C$47*$C$48))</f>
        <v>70400</v>
      </c>
      <c r="L12" s="57">
        <f>IF('Ввод данных'!$G$15="Взрослый",0,($C$46*$C$47*$C$48))</f>
        <v>70400</v>
      </c>
      <c r="M12" s="57">
        <f>IF('Ввод данных'!$G$15="Взрослый",0,($C$46*$C$47*$C$48))</f>
        <v>70400</v>
      </c>
      <c r="N12" s="57">
        <f>IF('Ввод данных'!$G$15="Взрослый",0,($C$46*$C$47*$C$48))</f>
        <v>70400</v>
      </c>
    </row>
    <row r="13" spans="2:14">
      <c r="B13" s="56" t="s">
        <v>4</v>
      </c>
      <c r="C13" s="57">
        <f>IF('Ввод данных'!G15="Взрослый",0,($C$46*$C$47*$C$48/4))</f>
        <v>17600</v>
      </c>
      <c r="D13" s="57">
        <f>IF('Ввод данных'!G15="Взрослый",0,($C$46*$C$47*$C$48/2))</f>
        <v>35200</v>
      </c>
      <c r="E13" s="57">
        <f>IF('Ввод данных'!$G$15="Взрослый",0,($C$46*$C$47*$C$48*(3/4)))</f>
        <v>52800</v>
      </c>
      <c r="F13" s="57">
        <f>IF('Ввод данных'!$G$15="Взрослый",0,($C$46*$C$47*$C$48))</f>
        <v>70400</v>
      </c>
      <c r="G13" s="57">
        <f>IF('Ввод данных'!$G$15="Взрослый",0,($C$46*$C$47*$C$48))</f>
        <v>70400</v>
      </c>
      <c r="H13" s="57"/>
      <c r="I13" s="57"/>
      <c r="J13" s="57"/>
      <c r="K13" s="57">
        <f>IF('Ввод данных'!$G$15="Взрослый",0,($C$46*$C$47*$C$48))</f>
        <v>70400</v>
      </c>
      <c r="L13" s="57">
        <f>IF('Ввод данных'!$G$15="Взрослый",0,($C$46*$C$47*$C$48))</f>
        <v>70400</v>
      </c>
      <c r="M13" s="57">
        <f>IF('Ввод данных'!$G$15="Взрослый",0,($C$46*$C$47*$C$48))</f>
        <v>70400</v>
      </c>
      <c r="N13" s="57">
        <f>IF('Ввод данных'!$G$15="Взрослый",0,($C$46*$C$47*$C$48))</f>
        <v>70400</v>
      </c>
    </row>
    <row r="14" spans="2:14">
      <c r="B14" s="56" t="s">
        <v>3</v>
      </c>
      <c r="C14" s="57">
        <f>IF('Ввод данных'!G15="Взрослый",0,($C$46*$C$47*$C$48/4))</f>
        <v>17600</v>
      </c>
      <c r="D14" s="57">
        <f>IF('Ввод данных'!G15="Взрослый",0,($C$46*$C$47*$C$48/2))</f>
        <v>35200</v>
      </c>
      <c r="E14" s="57">
        <f>IF('Ввод данных'!$G$15="Взрослый",0,($C$46*$C$47*$C$48*(3/4)))</f>
        <v>52800</v>
      </c>
      <c r="F14" s="57">
        <f>IF('Ввод данных'!$G$15="Взрослый",0,($C$46*$C$47*$C$48))</f>
        <v>70400</v>
      </c>
      <c r="G14" s="57">
        <f>IF('Ввод данных'!$G$15="Взрослый",0,($C$46*$C$47*$C$48))</f>
        <v>70400</v>
      </c>
      <c r="H14" s="57"/>
      <c r="I14" s="57"/>
      <c r="J14" s="57"/>
      <c r="K14" s="57">
        <f>IF('Ввод данных'!$G$15="Взрослый",0,($C$46*$C$47*$C$48))</f>
        <v>70400</v>
      </c>
      <c r="L14" s="57">
        <f>IF('Ввод данных'!$G$15="Взрослый",0,($C$46*$C$47*$C$48))</f>
        <v>70400</v>
      </c>
      <c r="M14" s="57">
        <f>IF('Ввод данных'!$G$15="Взрослый",0,($C$46*$C$47*$C$48))</f>
        <v>70400</v>
      </c>
      <c r="N14" s="57">
        <f>IF('Ввод данных'!$G$15="Взрослый",0,($C$46*$C$47*$C$48))</f>
        <v>70400</v>
      </c>
    </row>
    <row r="15" spans="2:14">
      <c r="B15" s="56" t="s">
        <v>0</v>
      </c>
      <c r="C15" s="57">
        <f>IF('Ввод данных'!G15="Взрослый",0,($C$46*$C$47*$C$48/4))</f>
        <v>17600</v>
      </c>
      <c r="D15" s="57">
        <f>IF('Ввод данных'!G15="Взрослый",0,($C$46*$C$47*$C$48/2))</f>
        <v>35200</v>
      </c>
      <c r="E15" s="57">
        <f>IF('Ввод данных'!$G$15="Взрослый",0,($C$46*$C$47*$C$48*(3/4)))</f>
        <v>52800</v>
      </c>
      <c r="F15" s="57">
        <f>IF('Ввод данных'!$G$15="Взрослый",0,($C$46*$C$47*$C$48))</f>
        <v>70400</v>
      </c>
      <c r="G15" s="57">
        <f>IF('Ввод данных'!$G$15="Взрослый",0,($C$46*$C$47*$C$48))</f>
        <v>70400</v>
      </c>
      <c r="H15" s="57"/>
      <c r="I15" s="57"/>
      <c r="J15" s="57"/>
      <c r="K15" s="57">
        <f>IF('Ввод данных'!$G$15="Взрослый",0,($C$46*$C$47*$C$48))</f>
        <v>70400</v>
      </c>
      <c r="L15" s="57">
        <f>IF('Ввод данных'!$G$15="Взрослый",0,($C$46*$C$47*$C$48))</f>
        <v>70400</v>
      </c>
      <c r="M15" s="57">
        <f>IF('Ввод данных'!$G$15="Взрослый",0,($C$46*$C$47*$C$48))</f>
        <v>70400</v>
      </c>
      <c r="N15" s="57">
        <f>IF('Ввод данных'!$G$15="Взрослый",0,($C$46*$C$47*$C$48))</f>
        <v>70400</v>
      </c>
    </row>
    <row r="16" spans="2:14">
      <c r="B16" s="56" t="s">
        <v>1</v>
      </c>
      <c r="C16" s="57">
        <f>IF('Ввод данных'!G15="Взрослый",0,($C$46*$C$47*$C$48/4))</f>
        <v>17600</v>
      </c>
      <c r="D16" s="57">
        <f>IF('Ввод данных'!G15="Взрослый",0,($C$46*$C$47*$C$48/2))</f>
        <v>35200</v>
      </c>
      <c r="E16" s="57">
        <f>IF('Ввод данных'!$G$15="Взрослый",0,($C$46*$C$47*$C$48*(3/4)))</f>
        <v>52800</v>
      </c>
      <c r="F16" s="57">
        <f>IF('Ввод данных'!$G$15="Взрослый",0,($C$46*$C$47*$C$48))</f>
        <v>70400</v>
      </c>
      <c r="G16" s="57">
        <f>IF('Ввод данных'!$G$15="Взрослый",0,($C$46*$C$47*$C$48))</f>
        <v>70400</v>
      </c>
      <c r="H16" s="57"/>
      <c r="I16" s="57"/>
      <c r="J16" s="57"/>
      <c r="K16" s="57">
        <f>IF('Ввод данных'!$G$15="Взрослый",0,($C$46*$C$47*$C$48))</f>
        <v>70400</v>
      </c>
      <c r="L16" s="57">
        <f>IF('Ввод данных'!$G$15="Взрослый",0,($C$46*$C$47*$C$48))</f>
        <v>70400</v>
      </c>
      <c r="M16" s="57">
        <f>IF('Ввод данных'!$G$15="Взрослый",0,($C$46*$C$47*$C$48))</f>
        <v>70400</v>
      </c>
      <c r="N16" s="57">
        <f>IF('Ввод данных'!$G$15="Взрослый",0,($C$46*$C$47*$C$48))</f>
        <v>70400</v>
      </c>
    </row>
    <row r="17" spans="2:21">
      <c r="B17" s="56" t="s">
        <v>62</v>
      </c>
      <c r="C17" s="57">
        <f>IF('Ввод данных'!G15="Взрослый",0,($C$46*$C$47*$C$48/4))</f>
        <v>17600</v>
      </c>
      <c r="D17" s="57">
        <f>IF('Ввод данных'!G15="Взрослый",0,($C$46*$C$47*$C$48/2))</f>
        <v>35200</v>
      </c>
      <c r="E17" s="57">
        <f>IF('Ввод данных'!$G$15="Взрослый",0,($C$46*$C$47*$C$48*(3/4)))</f>
        <v>52800</v>
      </c>
      <c r="F17" s="57">
        <f>IF('Ввод данных'!$G$15="Взрослый",0,($C$46*$C$47*$C$48))</f>
        <v>70400</v>
      </c>
      <c r="G17" s="57">
        <f>IF('Ввод данных'!$G$15="Взрослый",0,($C$46*$C$47*$C$48))</f>
        <v>70400</v>
      </c>
      <c r="H17" s="57"/>
      <c r="I17" s="57"/>
      <c r="J17" s="57"/>
      <c r="K17" s="57">
        <f>IF('Ввод данных'!$G$15="Взрослый",0,($C$46*$C$47*$C$48))</f>
        <v>70400</v>
      </c>
      <c r="L17" s="57">
        <f>IF('Ввод данных'!$G$15="Взрослый",0,($C$46*$C$47*$C$48))</f>
        <v>70400</v>
      </c>
      <c r="M17" s="57">
        <f>IF('Ввод данных'!$G$15="Взрослый",0,($C$46*$C$47*$C$48))</f>
        <v>70400</v>
      </c>
      <c r="N17" s="57">
        <f>IF('Ввод данных'!$G$15="Взрослый",0,($C$46*$C$47*$C$48))</f>
        <v>70400</v>
      </c>
    </row>
    <row r="18" spans="2:21">
      <c r="B18" s="56" t="s">
        <v>53</v>
      </c>
      <c r="C18" s="57"/>
      <c r="D18" s="57"/>
      <c r="E18" s="57"/>
      <c r="F18" s="57"/>
      <c r="G18" s="57"/>
      <c r="H18" s="57">
        <f>IF('Ввод данных'!G15="Взрослый",0,((F46*F47*F48*1*2)))</f>
        <v>132000</v>
      </c>
      <c r="I18" s="57"/>
      <c r="J18" s="57"/>
      <c r="K18" s="57"/>
      <c r="L18" s="57"/>
      <c r="M18" s="57"/>
      <c r="N18" s="57"/>
    </row>
    <row r="19" spans="2:2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21">
      <c r="B20" s="56" t="s">
        <v>54</v>
      </c>
      <c r="C20" s="57">
        <f t="shared" ref="C20:N20" si="1">$E$46*$E$47*2</f>
        <v>40000</v>
      </c>
      <c r="D20" s="57">
        <f t="shared" si="1"/>
        <v>40000</v>
      </c>
      <c r="E20" s="57">
        <f t="shared" si="1"/>
        <v>40000</v>
      </c>
      <c r="F20" s="57">
        <f t="shared" si="1"/>
        <v>40000</v>
      </c>
      <c r="G20" s="57">
        <f t="shared" si="1"/>
        <v>40000</v>
      </c>
      <c r="H20" s="57">
        <f t="shared" si="1"/>
        <v>40000</v>
      </c>
      <c r="I20" s="57">
        <f t="shared" si="1"/>
        <v>40000</v>
      </c>
      <c r="J20" s="57">
        <f t="shared" si="1"/>
        <v>40000</v>
      </c>
      <c r="K20" s="57">
        <f t="shared" si="1"/>
        <v>40000</v>
      </c>
      <c r="L20" s="57">
        <f t="shared" si="1"/>
        <v>40000</v>
      </c>
      <c r="M20" s="57">
        <f t="shared" si="1"/>
        <v>40000</v>
      </c>
      <c r="N20" s="57">
        <f t="shared" si="1"/>
        <v>40000</v>
      </c>
      <c r="Q20" s="71"/>
    </row>
    <row r="21" spans="2:21">
      <c r="B21" s="56" t="s">
        <v>60</v>
      </c>
      <c r="C21" s="57">
        <f>IF('Ввод данных'!G15="Детский",0,($D$46*$D$47*$D$48/4))</f>
        <v>0</v>
      </c>
      <c r="D21" s="57">
        <f>IF('Ввод данных'!G15="Детский",0,($D$46*$D$47*$D$48/2))</f>
        <v>0</v>
      </c>
      <c r="E21" s="57">
        <f>IF('Ввод данных'!$G$15="Детский",0,($D$46*$D$47*$D$48*(3/4)))</f>
        <v>0</v>
      </c>
      <c r="F21" s="57">
        <f>IF('Ввод данных'!$G$15="Детский",0,($D$46*$D$47*$D$48))</f>
        <v>0</v>
      </c>
      <c r="G21" s="57">
        <f>IF('Ввод данных'!$G$15="Детский",0,($D$46*$D$47*$D$48))</f>
        <v>0</v>
      </c>
      <c r="H21" s="57"/>
      <c r="I21" s="57"/>
      <c r="J21" s="57"/>
      <c r="K21" s="57">
        <f>IF('Ввод данных'!$G$15="Детский",0,($D$46*$D$47*$D$48))</f>
        <v>0</v>
      </c>
      <c r="L21" s="57">
        <f>IF('Ввод данных'!$G$15="Детский",0,($D$46*$D$47*$D$48))</f>
        <v>0</v>
      </c>
      <c r="M21" s="57">
        <f>IF('Ввод данных'!$G$15="Детский",0,($D$46*$D$47*$D$48))</f>
        <v>0</v>
      </c>
      <c r="N21" s="57">
        <f>IF('Ввод данных'!$G$15="Детский",0,($D$46*$D$47*$D$48))</f>
        <v>0</v>
      </c>
    </row>
    <row r="22" spans="2:21">
      <c r="B22" s="56" t="s">
        <v>63</v>
      </c>
      <c r="C22" s="57">
        <f>IF('Ввод данных'!G15="Детский",0,($D$46*$D$47*$D$48/4))</f>
        <v>0</v>
      </c>
      <c r="D22" s="57">
        <f>IF('Ввод данных'!G15="Детский",0,($D$46*$D$47*$D$48/2))</f>
        <v>0</v>
      </c>
      <c r="E22" s="57">
        <f>IF('Ввод данных'!$G$15="Детский",0,($D$46*$D$47*$D$48*(3/4)))</f>
        <v>0</v>
      </c>
      <c r="F22" s="57">
        <f>IF('Ввод данных'!$G$15="Детский",0,($D$46*$D$47*$D$48))</f>
        <v>0</v>
      </c>
      <c r="G22" s="57">
        <f>IF('Ввод данных'!$G$15="Детский",0,($D$46*$D$47*$D$48))</f>
        <v>0</v>
      </c>
      <c r="H22" s="57"/>
      <c r="I22" s="57"/>
      <c r="J22" s="57"/>
      <c r="K22" s="57">
        <f>IF('Ввод данных'!$G$15="Детский",0,($D$46*$D$47*$D$48))</f>
        <v>0</v>
      </c>
      <c r="L22" s="57">
        <f>IF('Ввод данных'!$G$15="Детский",0,($D$46*$D$47*$D$48))</f>
        <v>0</v>
      </c>
      <c r="M22" s="57">
        <f>IF('Ввод данных'!$G$15="Детский",0,($D$46*$D$47*$D$48))</f>
        <v>0</v>
      </c>
      <c r="N22" s="57">
        <f>IF('Ввод данных'!$G$15="Детский",0,($D$46*$D$47*$D$48))</f>
        <v>0</v>
      </c>
    </row>
    <row r="23" spans="2:21">
      <c r="B23" s="56" t="s">
        <v>2</v>
      </c>
      <c r="C23" s="57">
        <f>IF('Ввод данных'!G15="Детский",0,($D$46*$D$47*$D$48/4))</f>
        <v>0</v>
      </c>
      <c r="D23" s="57">
        <f>IF('Ввод данных'!G15="Детский",0,($D$46*$D$47*$D$48/2))</f>
        <v>0</v>
      </c>
      <c r="E23" s="57">
        <f>IF('Ввод данных'!$G$15="Детский",0,($D$46*$D$47*$D$48*(3/4)))</f>
        <v>0</v>
      </c>
      <c r="F23" s="57">
        <f>IF('Ввод данных'!$G$15="Детский",0,($D$46*$D$47*$D$48))</f>
        <v>0</v>
      </c>
      <c r="G23" s="57">
        <f>IF('Ввод данных'!$G$15="Детский",0,($D$46*$D$47*$D$48))</f>
        <v>0</v>
      </c>
      <c r="H23" s="57"/>
      <c r="I23" s="57"/>
      <c r="J23" s="57"/>
      <c r="K23" s="57">
        <f>IF('Ввод данных'!$G$15="Детский",0,($D$46*$D$47*$D$48))</f>
        <v>0</v>
      </c>
      <c r="L23" s="57">
        <f>IF('Ввод данных'!$G$15="Детский",0,($D$46*$D$47*$D$48))</f>
        <v>0</v>
      </c>
      <c r="M23" s="57">
        <f>IF('Ввод данных'!$G$15="Детский",0,($D$46*$D$47*$D$48))</f>
        <v>0</v>
      </c>
      <c r="N23" s="57">
        <f>IF('Ввод данных'!$G$15="Детский",0,($D$46*$D$47*$D$48))</f>
        <v>0</v>
      </c>
    </row>
    <row r="24" spans="2:21" ht="13.5" thickBot="1">
      <c r="B24" s="56" t="s">
        <v>64</v>
      </c>
      <c r="C24" s="57">
        <f>IF('Ввод данных'!G15="Детский",0,($D$46*$D$47*$D$48/4))</f>
        <v>0</v>
      </c>
      <c r="D24" s="57">
        <f>IF('Ввод данных'!G15="Детский",0,($D$46*$D$47*$D$48/2))</f>
        <v>0</v>
      </c>
      <c r="E24" s="57">
        <f>IF('Ввод данных'!$G$15="Детский",0,($D$46*$D$47*$D$48*(3/4)))</f>
        <v>0</v>
      </c>
      <c r="F24" s="57">
        <f>IF('Ввод данных'!$G$15="Детский",0,($D$46*$D$47*$D$48))</f>
        <v>0</v>
      </c>
      <c r="G24" s="57">
        <f>IF('Ввод данных'!$G$15="Детский",0,($D$46*$D$47*$D$48))</f>
        <v>0</v>
      </c>
      <c r="H24" s="57"/>
      <c r="I24" s="57"/>
      <c r="J24" s="57"/>
      <c r="K24" s="57">
        <f>IF('Ввод данных'!$G$15="Детский",0,($D$46*$D$47*$D$48))</f>
        <v>0</v>
      </c>
      <c r="L24" s="57">
        <f>IF('Ввод данных'!$G$15="Детский",0,($D$46*$D$47*$D$48))</f>
        <v>0</v>
      </c>
      <c r="M24" s="57">
        <f>IF('Ввод данных'!$G$15="Детский",0,($D$46*$D$47*$D$48))</f>
        <v>0</v>
      </c>
      <c r="N24" s="57">
        <f>IF('Ввод данных'!$G$15="Детский",0,($D$46*$D$47*$D$48))</f>
        <v>0</v>
      </c>
    </row>
    <row r="25" spans="2:21" s="17" customFormat="1" ht="15.75" thickBot="1">
      <c r="B25" s="38" t="s">
        <v>16</v>
      </c>
      <c r="C25" s="37">
        <f t="shared" ref="C25:N25" si="2">SUM(C26:C30)</f>
        <v>-97800</v>
      </c>
      <c r="D25" s="37">
        <f t="shared" si="2"/>
        <v>-111100</v>
      </c>
      <c r="E25" s="37">
        <f t="shared" si="2"/>
        <v>-124400</v>
      </c>
      <c r="F25" s="37">
        <f t="shared" si="2"/>
        <v>-141200</v>
      </c>
      <c r="G25" s="37">
        <f t="shared" si="2"/>
        <v>-141200</v>
      </c>
      <c r="H25" s="37">
        <f t="shared" si="2"/>
        <v>-76400</v>
      </c>
      <c r="I25" s="37">
        <f t="shared" si="2"/>
        <v>-76400</v>
      </c>
      <c r="J25" s="37">
        <f t="shared" si="2"/>
        <v>-76400</v>
      </c>
      <c r="K25" s="37">
        <f t="shared" si="2"/>
        <v>-141200</v>
      </c>
      <c r="L25" s="37">
        <f t="shared" si="2"/>
        <v>-141200</v>
      </c>
      <c r="M25" s="37">
        <f t="shared" si="2"/>
        <v>-141200</v>
      </c>
      <c r="N25" s="37">
        <f t="shared" si="2"/>
        <v>-141200</v>
      </c>
    </row>
    <row r="26" spans="2:21">
      <c r="B26" s="56" t="s">
        <v>34</v>
      </c>
      <c r="C26" s="57">
        <f t="shared" ref="C26:N26" si="3">-$C$50*$C$51</f>
        <v>-27000</v>
      </c>
      <c r="D26" s="57">
        <f t="shared" si="3"/>
        <v>-27000</v>
      </c>
      <c r="E26" s="57">
        <f t="shared" si="3"/>
        <v>-27000</v>
      </c>
      <c r="F26" s="57">
        <f t="shared" si="3"/>
        <v>-27000</v>
      </c>
      <c r="G26" s="57">
        <f t="shared" si="3"/>
        <v>-27000</v>
      </c>
      <c r="H26" s="57">
        <f t="shared" si="3"/>
        <v>-27000</v>
      </c>
      <c r="I26" s="57">
        <f t="shared" si="3"/>
        <v>-27000</v>
      </c>
      <c r="J26" s="57">
        <f t="shared" si="3"/>
        <v>-27000</v>
      </c>
      <c r="K26" s="57">
        <f t="shared" si="3"/>
        <v>-27000</v>
      </c>
      <c r="L26" s="57">
        <f t="shared" si="3"/>
        <v>-27000</v>
      </c>
      <c r="M26" s="57">
        <f t="shared" si="3"/>
        <v>-27000</v>
      </c>
      <c r="N26" s="58">
        <f t="shared" si="3"/>
        <v>-27000</v>
      </c>
    </row>
    <row r="27" spans="2:21">
      <c r="B27" s="56" t="s">
        <v>11</v>
      </c>
      <c r="C27" s="57">
        <v>-10000</v>
      </c>
      <c r="D27" s="57">
        <v>-5000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U27" s="71"/>
    </row>
    <row r="28" spans="2:21">
      <c r="B28" s="56" t="s">
        <v>35</v>
      </c>
      <c r="C28" s="57">
        <v>-10000</v>
      </c>
      <c r="D28" s="57">
        <v>-10000</v>
      </c>
      <c r="E28" s="57">
        <v>-10000</v>
      </c>
      <c r="F28" s="57">
        <v>-10000</v>
      </c>
      <c r="G28" s="57">
        <v>-10000</v>
      </c>
      <c r="H28" s="57">
        <v>-10000</v>
      </c>
      <c r="I28" s="57">
        <v>-10000</v>
      </c>
      <c r="J28" s="57">
        <v>-10000</v>
      </c>
      <c r="K28" s="57">
        <v>-10000</v>
      </c>
      <c r="L28" s="57">
        <v>-10000</v>
      </c>
      <c r="M28" s="57">
        <v>-10000</v>
      </c>
      <c r="N28" s="58">
        <v>-10000</v>
      </c>
    </row>
    <row r="29" spans="2:21">
      <c r="B29" s="56" t="s">
        <v>52</v>
      </c>
      <c r="C29" s="57">
        <f>-$C$47*$C$49/2</f>
        <v>-3000</v>
      </c>
      <c r="D29" s="57">
        <f>-$C$47*$C$49/4*3</f>
        <v>-4500</v>
      </c>
      <c r="E29" s="57">
        <f t="shared" ref="E29:N29" si="4">-$C$47*$C$49</f>
        <v>-6000</v>
      </c>
      <c r="F29" s="57">
        <f t="shared" si="4"/>
        <v>-6000</v>
      </c>
      <c r="G29" s="57">
        <f t="shared" si="4"/>
        <v>-6000</v>
      </c>
      <c r="H29" s="57">
        <f t="shared" si="4"/>
        <v>-6000</v>
      </c>
      <c r="I29" s="57">
        <f t="shared" si="4"/>
        <v>-6000</v>
      </c>
      <c r="J29" s="57">
        <f t="shared" si="4"/>
        <v>-6000</v>
      </c>
      <c r="K29" s="57">
        <f t="shared" si="4"/>
        <v>-6000</v>
      </c>
      <c r="L29" s="57">
        <f t="shared" si="4"/>
        <v>-6000</v>
      </c>
      <c r="M29" s="57">
        <f t="shared" si="4"/>
        <v>-6000</v>
      </c>
      <c r="N29" s="57">
        <f t="shared" si="4"/>
        <v>-6000</v>
      </c>
    </row>
    <row r="30" spans="2:21">
      <c r="B30" s="56" t="s">
        <v>17</v>
      </c>
      <c r="C30" s="57">
        <f t="shared" ref="C30:N30" si="5">SUM(C31:C34)</f>
        <v>-47800</v>
      </c>
      <c r="D30" s="57">
        <f t="shared" si="5"/>
        <v>-64600</v>
      </c>
      <c r="E30" s="57">
        <f t="shared" si="5"/>
        <v>-81400</v>
      </c>
      <c r="F30" s="57">
        <f t="shared" si="5"/>
        <v>-98200</v>
      </c>
      <c r="G30" s="57">
        <f t="shared" si="5"/>
        <v>-98200</v>
      </c>
      <c r="H30" s="57">
        <f t="shared" si="5"/>
        <v>-33400</v>
      </c>
      <c r="I30" s="57">
        <f t="shared" si="5"/>
        <v>-33400</v>
      </c>
      <c r="J30" s="57">
        <f t="shared" si="5"/>
        <v>-33400</v>
      </c>
      <c r="K30" s="57">
        <f t="shared" si="5"/>
        <v>-98200</v>
      </c>
      <c r="L30" s="57">
        <f t="shared" si="5"/>
        <v>-98200</v>
      </c>
      <c r="M30" s="57">
        <f t="shared" si="5"/>
        <v>-98200</v>
      </c>
      <c r="N30" s="57">
        <f t="shared" si="5"/>
        <v>-98200</v>
      </c>
    </row>
    <row r="31" spans="2:21">
      <c r="B31" s="73" t="s">
        <v>75</v>
      </c>
      <c r="C31" s="57">
        <v>-15000</v>
      </c>
      <c r="D31" s="57">
        <v>-15000</v>
      </c>
      <c r="E31" s="57">
        <v>-15000</v>
      </c>
      <c r="F31" s="57">
        <v>-15000</v>
      </c>
      <c r="G31" s="57">
        <v>-15000</v>
      </c>
      <c r="H31" s="57">
        <v>-15000</v>
      </c>
      <c r="I31" s="57">
        <v>-15000</v>
      </c>
      <c r="J31" s="57">
        <v>-15000</v>
      </c>
      <c r="K31" s="57">
        <v>-15000</v>
      </c>
      <c r="L31" s="57">
        <v>-15000</v>
      </c>
      <c r="M31" s="57">
        <v>-15000</v>
      </c>
      <c r="N31" s="57">
        <v>-15000</v>
      </c>
    </row>
    <row r="32" spans="2:21">
      <c r="B32" s="66" t="s">
        <v>69</v>
      </c>
      <c r="C32" s="57">
        <f>-IF('Ввод данных'!$G$15="Взрослый",0,$C$45*$C$47*7)/4</f>
        <v>-16800</v>
      </c>
      <c r="D32" s="57">
        <f>-IF('Ввод данных'!$G$15="Взрослый",0,$C$45*$C$47*7)/2</f>
        <v>-33600</v>
      </c>
      <c r="E32" s="57">
        <f>-IF('Ввод данных'!$G$15="Взрослый",0,$C$45*$C$47*7)*(3/4)</f>
        <v>-50400</v>
      </c>
      <c r="F32" s="57">
        <f>-IF('Ввод данных'!$G$15="Взрослый",0,$C$45*$C$47*7)</f>
        <v>-67200</v>
      </c>
      <c r="G32" s="57">
        <f>-IF('Ввод данных'!$G$15="Взрослый",0,$C$45*$C$47*7)</f>
        <v>-67200</v>
      </c>
      <c r="H32" s="57">
        <f>-IF('Ввод данных'!$G$15="Взрослый",0,2400)</f>
        <v>-2400</v>
      </c>
      <c r="I32" s="57">
        <f>-IF('Ввод данных'!$G$15="Взрослый",0,2400)</f>
        <v>-2400</v>
      </c>
      <c r="J32" s="57">
        <f>-IF('Ввод данных'!$G$15="Взрослый",0,2400)</f>
        <v>-2400</v>
      </c>
      <c r="K32" s="57">
        <f>-IF('Ввод данных'!$G$15="Взрослый",0,$C$45*$C$47*7)</f>
        <v>-67200</v>
      </c>
      <c r="L32" s="57">
        <f>-IF('Ввод данных'!$G$15="Взрослый",0,$C$45*$C$47*7)</f>
        <v>-67200</v>
      </c>
      <c r="M32" s="57">
        <f>-IF('Ввод данных'!$G$15="Взрослый",0,$C$45*$C$47*7)</f>
        <v>-67200</v>
      </c>
      <c r="N32" s="57">
        <f>-IF('Ввод данных'!$G$15="Взрослый",0,$C$45*$C$47*7)</f>
        <v>-67200</v>
      </c>
    </row>
    <row r="33" spans="2:23">
      <c r="B33" s="66" t="s">
        <v>70</v>
      </c>
      <c r="C33" s="57">
        <f>-IF('Ввод данных'!$G$15="Детский",0,D45*D47*4)/4</f>
        <v>0</v>
      </c>
      <c r="D33" s="57">
        <f>-IF('Ввод данных'!$G$15="Детский",0,D45*D47*4/2)</f>
        <v>0</v>
      </c>
      <c r="E33" s="57">
        <f>-IF('Ввод данных'!$G$15="Детский",0,D45*D47*4)*(3/4)</f>
        <v>0</v>
      </c>
      <c r="F33" s="57">
        <f>-IF('Ввод данных'!$G$15="Детский",0,D45*D47*4)</f>
        <v>0</v>
      </c>
      <c r="G33" s="57">
        <f>-IF('Ввод данных'!$G$15="Детский",0,$D45*$D47*4)</f>
        <v>0</v>
      </c>
      <c r="H33" s="57"/>
      <c r="I33" s="57"/>
      <c r="J33" s="57"/>
      <c r="K33" s="57">
        <f>-IF('Ввод данных'!$G$15="Детский",0,$D45*$D47*4)</f>
        <v>0</v>
      </c>
      <c r="L33" s="57">
        <f>-IF('Ввод данных'!$G$15="Детский",0,$D45*$D47*4)</f>
        <v>0</v>
      </c>
      <c r="M33" s="57">
        <f>-IF('Ввод данных'!$G$15="Детский",0,$D45*$D47*4)</f>
        <v>0</v>
      </c>
      <c r="N33" s="57">
        <f>-IF('Ввод данных'!$G$15="Детский",0,$D45*$D47*4)</f>
        <v>0</v>
      </c>
    </row>
    <row r="34" spans="2:23" ht="13.5" thickBot="1">
      <c r="B34" s="67" t="s">
        <v>56</v>
      </c>
      <c r="C34" s="59">
        <f t="shared" ref="C34:N34" si="6">-$E$45*$E$47*2</f>
        <v>-16000</v>
      </c>
      <c r="D34" s="59">
        <f t="shared" si="6"/>
        <v>-16000</v>
      </c>
      <c r="E34" s="59">
        <f t="shared" si="6"/>
        <v>-16000</v>
      </c>
      <c r="F34" s="59">
        <f t="shared" si="6"/>
        <v>-16000</v>
      </c>
      <c r="G34" s="59">
        <f t="shared" si="6"/>
        <v>-16000</v>
      </c>
      <c r="H34" s="59">
        <f t="shared" si="6"/>
        <v>-16000</v>
      </c>
      <c r="I34" s="59">
        <f t="shared" si="6"/>
        <v>-16000</v>
      </c>
      <c r="J34" s="59">
        <f t="shared" si="6"/>
        <v>-16000</v>
      </c>
      <c r="K34" s="59">
        <f t="shared" si="6"/>
        <v>-16000</v>
      </c>
      <c r="L34" s="59">
        <f t="shared" si="6"/>
        <v>-16000</v>
      </c>
      <c r="M34" s="59">
        <f t="shared" si="6"/>
        <v>-16000</v>
      </c>
      <c r="N34" s="59">
        <f t="shared" si="6"/>
        <v>-16000</v>
      </c>
      <c r="R34" s="71"/>
    </row>
    <row r="35" spans="2:23" s="17" customFormat="1" ht="15.75" thickBot="1">
      <c r="B35" s="38" t="s">
        <v>36</v>
      </c>
      <c r="C35" s="37">
        <f t="shared" ref="C35:N35" si="7">C11+C25</f>
        <v>47800</v>
      </c>
      <c r="D35" s="37">
        <f t="shared" si="7"/>
        <v>140100</v>
      </c>
      <c r="E35" s="37">
        <f t="shared" si="7"/>
        <v>232400</v>
      </c>
      <c r="F35" s="37">
        <f t="shared" si="7"/>
        <v>321200</v>
      </c>
      <c r="G35" s="37">
        <f t="shared" si="7"/>
        <v>321200</v>
      </c>
      <c r="H35" s="37">
        <f t="shared" si="7"/>
        <v>95600</v>
      </c>
      <c r="I35" s="37">
        <f t="shared" si="7"/>
        <v>-36400</v>
      </c>
      <c r="J35" s="37">
        <f t="shared" si="7"/>
        <v>-36400</v>
      </c>
      <c r="K35" s="37">
        <f t="shared" si="7"/>
        <v>321200</v>
      </c>
      <c r="L35" s="37">
        <f t="shared" si="7"/>
        <v>321200</v>
      </c>
      <c r="M35" s="37">
        <f t="shared" si="7"/>
        <v>321200</v>
      </c>
      <c r="N35" s="36">
        <f t="shared" si="7"/>
        <v>321200</v>
      </c>
    </row>
    <row r="36" spans="2:23">
      <c r="B36" s="60" t="s">
        <v>39</v>
      </c>
      <c r="C36" s="57"/>
      <c r="D36" s="57">
        <f t="shared" ref="D36:N36" si="8">-IF(D11*0.1&gt;10000,D11*0.05,10000)</f>
        <v>-12560</v>
      </c>
      <c r="E36" s="57">
        <f t="shared" si="8"/>
        <v>-17840</v>
      </c>
      <c r="F36" s="57">
        <f t="shared" si="8"/>
        <v>-23120</v>
      </c>
      <c r="G36" s="57">
        <f t="shared" si="8"/>
        <v>-23120</v>
      </c>
      <c r="H36" s="57">
        <f t="shared" si="8"/>
        <v>-8600</v>
      </c>
      <c r="I36" s="57">
        <f t="shared" si="8"/>
        <v>-10000</v>
      </c>
      <c r="J36" s="57">
        <f t="shared" si="8"/>
        <v>-10000</v>
      </c>
      <c r="K36" s="57">
        <f t="shared" si="8"/>
        <v>-23120</v>
      </c>
      <c r="L36" s="57">
        <f t="shared" si="8"/>
        <v>-23120</v>
      </c>
      <c r="M36" s="57">
        <f t="shared" si="8"/>
        <v>-23120</v>
      </c>
      <c r="N36" s="57">
        <f t="shared" si="8"/>
        <v>-23120</v>
      </c>
    </row>
    <row r="37" spans="2:23" ht="13.5" thickBot="1">
      <c r="B37" s="60" t="s">
        <v>37</v>
      </c>
      <c r="C37" s="57">
        <f t="shared" ref="C37:N37" si="9">-C11*0.06</f>
        <v>-8736</v>
      </c>
      <c r="D37" s="57">
        <f t="shared" si="9"/>
        <v>-15072</v>
      </c>
      <c r="E37" s="57">
        <f t="shared" si="9"/>
        <v>-21408</v>
      </c>
      <c r="F37" s="57">
        <f t="shared" si="9"/>
        <v>-27744</v>
      </c>
      <c r="G37" s="57">
        <f t="shared" si="9"/>
        <v>-27744</v>
      </c>
      <c r="H37" s="57">
        <f t="shared" si="9"/>
        <v>-10320</v>
      </c>
      <c r="I37" s="57">
        <f t="shared" si="9"/>
        <v>-2400</v>
      </c>
      <c r="J37" s="57">
        <f t="shared" si="9"/>
        <v>-2400</v>
      </c>
      <c r="K37" s="57">
        <f t="shared" si="9"/>
        <v>-27744</v>
      </c>
      <c r="L37" s="57">
        <f t="shared" si="9"/>
        <v>-27744</v>
      </c>
      <c r="M37" s="57">
        <f t="shared" si="9"/>
        <v>-27744</v>
      </c>
      <c r="N37" s="58">
        <f t="shared" si="9"/>
        <v>-27744</v>
      </c>
    </row>
    <row r="38" spans="2:23" s="17" customFormat="1" ht="15.75" thickBot="1">
      <c r="B38" s="38" t="s">
        <v>38</v>
      </c>
      <c r="C38" s="40">
        <f>C35+C36+C37</f>
        <v>39064</v>
      </c>
      <c r="D38" s="40">
        <f>D35+D36+D37</f>
        <v>112468</v>
      </c>
      <c r="E38" s="40">
        <f t="shared" ref="E38:N38" si="10">E35+E36+E37</f>
        <v>193152</v>
      </c>
      <c r="F38" s="40">
        <f t="shared" si="10"/>
        <v>270336</v>
      </c>
      <c r="G38" s="40">
        <f t="shared" si="10"/>
        <v>270336</v>
      </c>
      <c r="H38" s="40">
        <f t="shared" si="10"/>
        <v>76680</v>
      </c>
      <c r="I38" s="40">
        <f t="shared" si="10"/>
        <v>-48800</v>
      </c>
      <c r="J38" s="40">
        <f t="shared" si="10"/>
        <v>-48800</v>
      </c>
      <c r="K38" s="40">
        <f t="shared" si="10"/>
        <v>270336</v>
      </c>
      <c r="L38" s="40">
        <f t="shared" si="10"/>
        <v>270336</v>
      </c>
      <c r="M38" s="40">
        <f t="shared" si="10"/>
        <v>270336</v>
      </c>
      <c r="N38" s="41">
        <f t="shared" si="10"/>
        <v>270336</v>
      </c>
    </row>
    <row r="39" spans="2:23" s="17" customFormat="1" ht="15.75" thickBot="1">
      <c r="B39" s="39" t="s">
        <v>40</v>
      </c>
      <c r="C39" s="42">
        <f>C38</f>
        <v>39064</v>
      </c>
      <c r="D39" s="42">
        <f>C39+D38</f>
        <v>151532</v>
      </c>
      <c r="E39" s="42">
        <f t="shared" ref="E39:N39" si="11">D39+E38</f>
        <v>344684</v>
      </c>
      <c r="F39" s="42">
        <f t="shared" si="11"/>
        <v>615020</v>
      </c>
      <c r="G39" s="42">
        <f t="shared" si="11"/>
        <v>885356</v>
      </c>
      <c r="H39" s="42">
        <f t="shared" si="11"/>
        <v>962036</v>
      </c>
      <c r="I39" s="42">
        <f t="shared" si="11"/>
        <v>913236</v>
      </c>
      <c r="J39" s="42">
        <f t="shared" si="11"/>
        <v>864436</v>
      </c>
      <c r="K39" s="42">
        <f t="shared" si="11"/>
        <v>1134772</v>
      </c>
      <c r="L39" s="42">
        <f t="shared" si="11"/>
        <v>1405108</v>
      </c>
      <c r="M39" s="42">
        <f t="shared" si="11"/>
        <v>1675444</v>
      </c>
      <c r="N39" s="43">
        <f t="shared" si="11"/>
        <v>1945780</v>
      </c>
    </row>
    <row r="40" spans="2:23" s="17" customFormat="1" ht="15.75" thickBot="1">
      <c r="B40" s="38" t="s">
        <v>41</v>
      </c>
      <c r="C40" s="40">
        <f>-'Затраты на запуск'!$E$27+'Финансовая модель'!C39</f>
        <v>-460436</v>
      </c>
      <c r="D40" s="40">
        <f>C40+D38</f>
        <v>-347968</v>
      </c>
      <c r="E40" s="40">
        <f t="shared" ref="E40:N40" si="12">D40+E38</f>
        <v>-154816</v>
      </c>
      <c r="F40" s="62">
        <f t="shared" si="12"/>
        <v>115520</v>
      </c>
      <c r="G40" s="40">
        <f t="shared" si="12"/>
        <v>385856</v>
      </c>
      <c r="H40" s="40">
        <f t="shared" si="12"/>
        <v>462536</v>
      </c>
      <c r="I40" s="40">
        <f t="shared" si="12"/>
        <v>413736</v>
      </c>
      <c r="J40" s="40">
        <f t="shared" si="12"/>
        <v>364936</v>
      </c>
      <c r="K40" s="40">
        <f t="shared" si="12"/>
        <v>635272</v>
      </c>
      <c r="L40" s="40">
        <f t="shared" si="12"/>
        <v>905608</v>
      </c>
      <c r="M40" s="40">
        <f t="shared" si="12"/>
        <v>1175944</v>
      </c>
      <c r="N40" s="41">
        <f t="shared" si="12"/>
        <v>1446280</v>
      </c>
    </row>
    <row r="41" spans="2:23">
      <c r="B41" s="48"/>
      <c r="N41" s="49"/>
    </row>
    <row r="42" spans="2:23">
      <c r="B42" s="48"/>
      <c r="N42" s="49"/>
    </row>
    <row r="43" spans="2:23">
      <c r="B43" s="99" t="s">
        <v>49</v>
      </c>
      <c r="C43" s="100"/>
      <c r="D43" s="100"/>
      <c r="E43" s="100"/>
      <c r="F43" s="100"/>
      <c r="N43" s="49"/>
      <c r="V43" s="98"/>
      <c r="W43" s="98"/>
    </row>
    <row r="44" spans="2:23" ht="13.5" thickBot="1">
      <c r="B44" s="63"/>
      <c r="C44" s="65" t="s">
        <v>66</v>
      </c>
      <c r="D44" s="65" t="s">
        <v>67</v>
      </c>
      <c r="E44" s="65" t="s">
        <v>55</v>
      </c>
      <c r="F44" s="65" t="s">
        <v>51</v>
      </c>
      <c r="N44" s="49"/>
      <c r="V44" s="98"/>
      <c r="W44" s="98"/>
    </row>
    <row r="45" spans="2:23">
      <c r="B45" s="61" t="s">
        <v>30</v>
      </c>
      <c r="C45" s="57">
        <v>1200</v>
      </c>
      <c r="D45" s="57">
        <v>1500</v>
      </c>
      <c r="E45" s="57">
        <v>1000</v>
      </c>
      <c r="F45" s="57">
        <v>1200</v>
      </c>
      <c r="G45" s="98" t="s">
        <v>46</v>
      </c>
      <c r="H45" s="98"/>
      <c r="N45" s="49"/>
      <c r="V45" s="98"/>
      <c r="W45" s="98"/>
    </row>
    <row r="46" spans="2:23">
      <c r="B46" s="61" t="s">
        <v>31</v>
      </c>
      <c r="C46" s="57">
        <v>1100</v>
      </c>
      <c r="D46" s="57">
        <v>1800</v>
      </c>
      <c r="E46" s="57">
        <v>2500</v>
      </c>
      <c r="F46" s="57">
        <f>8250/6</f>
        <v>1375</v>
      </c>
      <c r="G46" s="98" t="s">
        <v>46</v>
      </c>
      <c r="H46" s="98"/>
      <c r="J46" s="98"/>
      <c r="K46" s="98"/>
      <c r="N46" s="49"/>
      <c r="V46" s="98"/>
      <c r="W46" s="98"/>
    </row>
    <row r="47" spans="2:23">
      <c r="B47" s="61" t="s">
        <v>33</v>
      </c>
      <c r="C47" s="57">
        <v>8</v>
      </c>
      <c r="D47" s="57">
        <v>8</v>
      </c>
      <c r="E47" s="57">
        <v>8</v>
      </c>
      <c r="F47" s="57">
        <v>6</v>
      </c>
      <c r="G47" s="98" t="s">
        <v>44</v>
      </c>
      <c r="H47" s="98"/>
      <c r="N47" s="49"/>
      <c r="V47" s="70"/>
    </row>
    <row r="48" spans="2:23">
      <c r="B48" s="61" t="s">
        <v>76</v>
      </c>
      <c r="C48" s="57">
        <v>8</v>
      </c>
      <c r="D48" s="57">
        <v>8</v>
      </c>
      <c r="E48" s="57">
        <v>1</v>
      </c>
      <c r="F48" s="57">
        <v>8</v>
      </c>
      <c r="G48" s="98" t="s">
        <v>45</v>
      </c>
      <c r="H48" s="98"/>
      <c r="N48" s="49"/>
      <c r="V48" s="70"/>
    </row>
    <row r="49" spans="2:22" ht="15.75" customHeight="1">
      <c r="B49" s="61" t="s">
        <v>68</v>
      </c>
      <c r="C49" s="92">
        <v>750</v>
      </c>
      <c r="D49" s="93"/>
      <c r="E49" s="93"/>
      <c r="F49" s="94"/>
      <c r="G49" s="70" t="s">
        <v>46</v>
      </c>
      <c r="N49" s="49"/>
      <c r="V49" s="70"/>
    </row>
    <row r="50" spans="2:22" ht="15" customHeight="1">
      <c r="B50" s="61" t="s">
        <v>32</v>
      </c>
      <c r="C50" s="92">
        <v>600</v>
      </c>
      <c r="D50" s="93"/>
      <c r="E50" s="93"/>
      <c r="F50" s="94"/>
      <c r="G50" s="70" t="s">
        <v>50</v>
      </c>
      <c r="N50" s="49"/>
    </row>
    <row r="51" spans="2:22" ht="15.75" customHeight="1" thickBot="1">
      <c r="B51" s="53" t="s">
        <v>42</v>
      </c>
      <c r="C51" s="95">
        <v>45</v>
      </c>
      <c r="D51" s="96"/>
      <c r="E51" s="96"/>
      <c r="F51" s="97"/>
      <c r="G51" s="64" t="s">
        <v>43</v>
      </c>
      <c r="H51" s="50"/>
      <c r="I51" s="50"/>
      <c r="J51" s="50"/>
      <c r="K51" s="50"/>
      <c r="L51" s="50"/>
      <c r="M51" s="50"/>
      <c r="N51" s="52"/>
    </row>
    <row r="52" spans="2:22" ht="15">
      <c r="B52" s="25"/>
      <c r="L52" s="25"/>
      <c r="N52" s="12"/>
    </row>
  </sheetData>
  <mergeCells count="14">
    <mergeCell ref="B43:F43"/>
    <mergeCell ref="B8:N8"/>
    <mergeCell ref="J46:K46"/>
    <mergeCell ref="V43:W43"/>
    <mergeCell ref="V44:W44"/>
    <mergeCell ref="V45:W45"/>
    <mergeCell ref="V46:W46"/>
    <mergeCell ref="G45:H45"/>
    <mergeCell ref="G46:H46"/>
    <mergeCell ref="C49:F49"/>
    <mergeCell ref="C50:F50"/>
    <mergeCell ref="C51:F51"/>
    <mergeCell ref="G47:H47"/>
    <mergeCell ref="G48:H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Ввод данных</vt:lpstr>
      <vt:lpstr>Затраты на запуск</vt:lpstr>
      <vt:lpstr>Финансовая модель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Ринат Закиев</dc:creator>
  <cp:lastModifiedBy>Рашид Талипов</cp:lastModifiedBy>
  <dcterms:created xsi:type="dcterms:W3CDTF">2019-11-07T09:50:53Z</dcterms:created>
  <dcterms:modified xsi:type="dcterms:W3CDTF">2022-11-10T18:20:53Z</dcterms:modified>
</cp:coreProperties>
</file>